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9035" windowHeight="8415" tabRatio="738"/>
  </bookViews>
  <sheets>
    <sheet name="Reported - New Web" sheetId="24" r:id="rId1"/>
    <sheet name="Restated- New Web" sheetId="16" r:id="rId2"/>
    <sheet name="Reported Non IFRS Measures" sheetId="26" r:id="rId3"/>
    <sheet name="Restated" sheetId="33" r:id="rId4"/>
  </sheets>
  <externalReferences>
    <externalReference r:id="rId5"/>
    <externalReference r:id="rId6"/>
  </externalReferences>
  <definedNames>
    <definedName name="e" localSheetId="3">#REF!</definedName>
    <definedName name="e" localSheetId="1">#REF!</definedName>
    <definedName name="e">#REF!</definedName>
    <definedName name="GROUP" localSheetId="3">#REF!</definedName>
    <definedName name="GROUP" localSheetId="1">#REF!</definedName>
    <definedName name="GROUP">#REF!</definedName>
    <definedName name="half" localSheetId="3">#REF!</definedName>
    <definedName name="half" localSheetId="1">#REF!</definedName>
    <definedName name="half">#REF!</definedName>
    <definedName name="JURISDICTION" localSheetId="3">#REF!</definedName>
    <definedName name="JURISDICTION" localSheetId="1">#REF!</definedName>
    <definedName name="JURISDICTION">#REF!</definedName>
    <definedName name="leasedata">'[1]Contract Cash Flow'!$A$4:$J$14</definedName>
    <definedName name="_xlnm.Print_Area" localSheetId="0">'Reported - New Web'!$A$1:$L$74</definedName>
    <definedName name="_xlnm.Print_Area" localSheetId="2">'Reported Non IFRS Measures'!$A$1:$M$76</definedName>
    <definedName name="_xlnm.Print_Area" localSheetId="3">Restated!$A$1:$M$43</definedName>
    <definedName name="_xlnm.Print_Area" localSheetId="1">'Restated- New Web'!$A$1:$L$74</definedName>
    <definedName name="_xlnm.Print_Titles" localSheetId="1">'Restated- New Web'!$A:$A</definedName>
    <definedName name="print1">[2]Normalization!$A$65:$Q$91,[2]Normalization!$A$93:$Q$151,[2]Normalization!$A$154:$R$206</definedName>
  </definedNames>
  <calcPr calcId="125725"/>
</workbook>
</file>

<file path=xl/calcChain.xml><?xml version="1.0" encoding="utf-8"?>
<calcChain xmlns="http://schemas.openxmlformats.org/spreadsheetml/2006/main">
  <c r="I39" i="33"/>
  <c r="J39"/>
  <c r="K39"/>
  <c r="H39"/>
  <c r="I50" i="24"/>
  <c r="I57" s="1"/>
  <c r="I58" s="1"/>
  <c r="H50" i="16"/>
  <c r="H57" s="1"/>
  <c r="H58" s="1"/>
  <c r="G50"/>
  <c r="G57" s="1"/>
  <c r="G58" s="1"/>
  <c r="J37"/>
  <c r="I37"/>
  <c r="H37"/>
  <c r="G37"/>
  <c r="J36"/>
  <c r="I36"/>
  <c r="H36"/>
  <c r="G36"/>
  <c r="J35"/>
  <c r="I35"/>
  <c r="H35"/>
  <c r="G35"/>
  <c r="J34"/>
  <c r="I34"/>
  <c r="H34"/>
  <c r="G34"/>
  <c r="J33"/>
  <c r="J38" s="1"/>
  <c r="I33"/>
  <c r="H33"/>
  <c r="G33"/>
  <c r="G34" i="24"/>
  <c r="H34"/>
  <c r="I34"/>
  <c r="J34"/>
  <c r="G35"/>
  <c r="H35"/>
  <c r="I35"/>
  <c r="J35"/>
  <c r="G36"/>
  <c r="H36"/>
  <c r="I36"/>
  <c r="J36"/>
  <c r="G37"/>
  <c r="H37"/>
  <c r="I37"/>
  <c r="J37"/>
  <c r="J33"/>
  <c r="I33"/>
  <c r="H33"/>
  <c r="G33"/>
  <c r="M42" i="33"/>
  <c r="K42"/>
  <c r="J42"/>
  <c r="I42"/>
  <c r="H42"/>
  <c r="F42"/>
  <c r="D42"/>
  <c r="D29"/>
  <c r="M20"/>
  <c r="F14"/>
  <c r="E28" i="16"/>
  <c r="E30" s="1"/>
  <c r="L12"/>
  <c r="L11"/>
  <c r="L15" s="1"/>
  <c r="D11" i="26"/>
  <c r="D12"/>
  <c r="D13"/>
  <c r="D14"/>
  <c r="D15"/>
  <c r="F67"/>
  <c r="F74" s="1"/>
  <c r="D67"/>
  <c r="D74" s="1"/>
  <c r="E45" i="16"/>
  <c r="E46" s="1"/>
  <c r="E13"/>
  <c r="E12"/>
  <c r="E11"/>
  <c r="C13"/>
  <c r="C12"/>
  <c r="C15" s="1"/>
  <c r="C11"/>
  <c r="L13"/>
  <c r="C45"/>
  <c r="M56" i="26"/>
  <c r="K56"/>
  <c r="J56"/>
  <c r="I56"/>
  <c r="H56"/>
  <c r="F56"/>
  <c r="D56"/>
  <c r="F15"/>
  <c r="F14"/>
  <c r="F13"/>
  <c r="F11"/>
  <c r="L53" i="16"/>
  <c r="E53"/>
  <c r="C53"/>
  <c r="C28"/>
  <c r="C37" s="1"/>
  <c r="J15"/>
  <c r="L73"/>
  <c r="E73"/>
  <c r="C73"/>
  <c r="L72"/>
  <c r="C72"/>
  <c r="L71"/>
  <c r="E71"/>
  <c r="L66"/>
  <c r="E66"/>
  <c r="C66"/>
  <c r="L65"/>
  <c r="E65"/>
  <c r="C65"/>
  <c r="L64"/>
  <c r="E64"/>
  <c r="C64"/>
  <c r="L52"/>
  <c r="E52"/>
  <c r="C52"/>
  <c r="L46"/>
  <c r="L50" s="1"/>
  <c r="E37"/>
  <c r="J73"/>
  <c r="I73"/>
  <c r="H73"/>
  <c r="H72"/>
  <c r="E72"/>
  <c r="I71"/>
  <c r="H71"/>
  <c r="C71"/>
  <c r="L37"/>
  <c r="L36"/>
  <c r="E36"/>
  <c r="C36"/>
  <c r="L35"/>
  <c r="E35"/>
  <c r="C35"/>
  <c r="L34"/>
  <c r="E34"/>
  <c r="C34"/>
  <c r="L33"/>
  <c r="L38"/>
  <c r="E33"/>
  <c r="C33"/>
  <c r="L30"/>
  <c r="C30"/>
  <c r="D20" i="33" s="1"/>
  <c r="J30" i="16"/>
  <c r="G73"/>
  <c r="G15"/>
  <c r="G63" s="1"/>
  <c r="G64"/>
  <c r="G66"/>
  <c r="J65"/>
  <c r="I66"/>
  <c r="G72"/>
  <c r="H65"/>
  <c r="H66"/>
  <c r="G71"/>
  <c r="J72"/>
  <c r="E15"/>
  <c r="E63" s="1"/>
  <c r="G65"/>
  <c r="J66"/>
  <c r="H30"/>
  <c r="I20" i="33" s="1"/>
  <c r="I65" i="16"/>
  <c r="I72"/>
  <c r="J64"/>
  <c r="J71"/>
  <c r="I64"/>
  <c r="I15"/>
  <c r="I21" s="1"/>
  <c r="H15"/>
  <c r="H21"/>
  <c r="G21"/>
  <c r="G74" s="1"/>
  <c r="I30"/>
  <c r="J20" i="33" s="1"/>
  <c r="I46" i="16"/>
  <c r="I50" s="1"/>
  <c r="I57" s="1"/>
  <c r="I58" s="1"/>
  <c r="H46"/>
  <c r="I29" i="33" s="1"/>
  <c r="H64" i="16"/>
  <c r="G46"/>
  <c r="H29" i="33" s="1"/>
  <c r="J46" i="16"/>
  <c r="K29" i="33" s="1"/>
  <c r="C46" i="16"/>
  <c r="C50" s="1"/>
  <c r="C57" s="1"/>
  <c r="G30"/>
  <c r="H20" i="33" s="1"/>
  <c r="C36" i="24"/>
  <c r="C35"/>
  <c r="C33"/>
  <c r="C42"/>
  <c r="C41"/>
  <c r="M11" i="26"/>
  <c r="M12"/>
  <c r="M13"/>
  <c r="M14"/>
  <c r="M15"/>
  <c r="M42"/>
  <c r="F42"/>
  <c r="F53" s="1"/>
  <c r="D42"/>
  <c r="D53" s="1"/>
  <c r="L46" i="24"/>
  <c r="M23" i="33" s="1"/>
  <c r="L15" i="24"/>
  <c r="L63" s="1"/>
  <c r="H46"/>
  <c r="H50" s="1"/>
  <c r="H57" s="1"/>
  <c r="H58" s="1"/>
  <c r="L73"/>
  <c r="J73"/>
  <c r="L72"/>
  <c r="L71"/>
  <c r="L30"/>
  <c r="M14" i="33" s="1"/>
  <c r="J65" i="24"/>
  <c r="J66"/>
  <c r="L66"/>
  <c r="L65"/>
  <c r="L64"/>
  <c r="J64"/>
  <c r="L52"/>
  <c r="L33"/>
  <c r="L34"/>
  <c r="L35"/>
  <c r="L36"/>
  <c r="L37"/>
  <c r="E41"/>
  <c r="E43"/>
  <c r="E72" s="1"/>
  <c r="E45"/>
  <c r="E15"/>
  <c r="F10" i="26" s="1"/>
  <c r="E17" i="24"/>
  <c r="E21" s="1"/>
  <c r="C45"/>
  <c r="C15"/>
  <c r="C63" s="1"/>
  <c r="E73"/>
  <c r="C73"/>
  <c r="C72"/>
  <c r="E71"/>
  <c r="E28"/>
  <c r="C25"/>
  <c r="C64" s="1"/>
  <c r="C28"/>
  <c r="E66"/>
  <c r="C66"/>
  <c r="C65"/>
  <c r="E64"/>
  <c r="E52"/>
  <c r="E54"/>
  <c r="C52"/>
  <c r="C54"/>
  <c r="E34"/>
  <c r="E36"/>
  <c r="H29" i="26"/>
  <c r="J29"/>
  <c r="M40"/>
  <c r="M50"/>
  <c r="M64" s="1"/>
  <c r="M31"/>
  <c r="M43"/>
  <c r="M72" s="1"/>
  <c r="M44"/>
  <c r="M70"/>
  <c r="M29"/>
  <c r="M62"/>
  <c r="M69"/>
  <c r="E21" i="16"/>
  <c r="G70"/>
  <c r="H70"/>
  <c r="H63"/>
  <c r="H74"/>
  <c r="I72" i="24"/>
  <c r="I66"/>
  <c r="E37"/>
  <c r="H71"/>
  <c r="J72"/>
  <c r="E30"/>
  <c r="I65"/>
  <c r="G65"/>
  <c r="J46"/>
  <c r="J50" s="1"/>
  <c r="J57" s="1"/>
  <c r="J58" s="1"/>
  <c r="K34" i="33" s="1"/>
  <c r="G66" i="24"/>
  <c r="G64"/>
  <c r="I73"/>
  <c r="I15"/>
  <c r="I70" s="1"/>
  <c r="E63"/>
  <c r="C71"/>
  <c r="G71"/>
  <c r="G72"/>
  <c r="G30"/>
  <c r="I30"/>
  <c r="I64"/>
  <c r="G15"/>
  <c r="G63" s="1"/>
  <c r="C30"/>
  <c r="D14" i="33" s="1"/>
  <c r="H72" i="24"/>
  <c r="H65"/>
  <c r="I71"/>
  <c r="E33"/>
  <c r="E70"/>
  <c r="H30"/>
  <c r="J30"/>
  <c r="G73"/>
  <c r="H73"/>
  <c r="H66"/>
  <c r="J71"/>
  <c r="H15"/>
  <c r="H21" s="1"/>
  <c r="J15"/>
  <c r="C46"/>
  <c r="H64"/>
  <c r="L21"/>
  <c r="M9" i="33" s="1"/>
  <c r="I46" i="24"/>
  <c r="G46"/>
  <c r="G50" s="1"/>
  <c r="G57" s="1"/>
  <c r="G58" s="1"/>
  <c r="H63"/>
  <c r="J63"/>
  <c r="J70"/>
  <c r="J21"/>
  <c r="J67" s="1"/>
  <c r="L67"/>
  <c r="L74"/>
  <c r="D29" i="26"/>
  <c r="F29"/>
  <c r="D39" i="33" l="1"/>
  <c r="D40" s="1"/>
  <c r="C58" i="16"/>
  <c r="F29" i="33"/>
  <c r="E74" i="16"/>
  <c r="E47"/>
  <c r="E50"/>
  <c r="E57" s="1"/>
  <c r="L70"/>
  <c r="L63"/>
  <c r="L21"/>
  <c r="L67" s="1"/>
  <c r="C70"/>
  <c r="C63"/>
  <c r="C21"/>
  <c r="E67"/>
  <c r="F20" i="33"/>
  <c r="E70" i="16"/>
  <c r="C38"/>
  <c r="C47"/>
  <c r="C67"/>
  <c r="G38"/>
  <c r="E38"/>
  <c r="J29" i="33"/>
  <c r="C74" i="16"/>
  <c r="M29" i="33"/>
  <c r="M28" s="1"/>
  <c r="J50" i="16"/>
  <c r="E67" i="24"/>
  <c r="F9" i="33"/>
  <c r="F12" s="1"/>
  <c r="E38" i="24"/>
  <c r="F32" i="26" s="1"/>
  <c r="F33" s="1"/>
  <c r="C70" i="24"/>
  <c r="L38"/>
  <c r="M32" i="26" s="1"/>
  <c r="M33" s="1"/>
  <c r="C67" i="24"/>
  <c r="C21"/>
  <c r="D9" i="33" s="1"/>
  <c r="D12" s="1"/>
  <c r="D30" s="1"/>
  <c r="C37" i="24"/>
  <c r="C50"/>
  <c r="C57" s="1"/>
  <c r="L47"/>
  <c r="E46"/>
  <c r="C34"/>
  <c r="F12" i="26"/>
  <c r="D10"/>
  <c r="D23" i="33"/>
  <c r="D28" s="1"/>
  <c r="C47" i="24"/>
  <c r="E65"/>
  <c r="L70"/>
  <c r="L50"/>
  <c r="L57" s="1"/>
  <c r="H70"/>
  <c r="M10" i="26"/>
  <c r="M16" s="1"/>
  <c r="M18" s="1"/>
  <c r="E35" i="24"/>
  <c r="F19" i="33"/>
  <c r="M19"/>
  <c r="H38" i="16"/>
  <c r="I38"/>
  <c r="H67"/>
  <c r="I67"/>
  <c r="G47"/>
  <c r="G67"/>
  <c r="I70"/>
  <c r="H47"/>
  <c r="I63"/>
  <c r="I34" i="33"/>
  <c r="J34"/>
  <c r="H34"/>
  <c r="G38" i="24"/>
  <c r="H33" i="26" s="1"/>
  <c r="H38" i="24"/>
  <c r="J38"/>
  <c r="I38"/>
  <c r="H74"/>
  <c r="H67"/>
  <c r="I63"/>
  <c r="I21"/>
  <c r="J74"/>
  <c r="G70"/>
  <c r="H47"/>
  <c r="G21"/>
  <c r="J47"/>
  <c r="I40" i="33"/>
  <c r="H24"/>
  <c r="M24"/>
  <c r="F54" i="26"/>
  <c r="D54"/>
  <c r="H15" i="33"/>
  <c r="K24"/>
  <c r="I12"/>
  <c r="I30" s="1"/>
  <c r="M15"/>
  <c r="I24"/>
  <c r="J12"/>
  <c r="D21"/>
  <c r="H12"/>
  <c r="H21" s="1"/>
  <c r="K15"/>
  <c r="I15"/>
  <c r="M12"/>
  <c r="J40"/>
  <c r="K12"/>
  <c r="K30" s="1"/>
  <c r="D19"/>
  <c r="H40"/>
  <c r="M67" i="26"/>
  <c r="M74" s="1"/>
  <c r="J33"/>
  <c r="I29"/>
  <c r="J16"/>
  <c r="D16"/>
  <c r="D76" s="1"/>
  <c r="M53"/>
  <c r="M54" s="1"/>
  <c r="F16"/>
  <c r="I53"/>
  <c r="I54" s="1"/>
  <c r="J67"/>
  <c r="K29"/>
  <c r="H16"/>
  <c r="J53"/>
  <c r="J54" s="1"/>
  <c r="K53"/>
  <c r="K54" s="1"/>
  <c r="H53"/>
  <c r="H54" s="1"/>
  <c r="J70" i="16"/>
  <c r="J21"/>
  <c r="J67" s="1"/>
  <c r="J63"/>
  <c r="I47"/>
  <c r="I74"/>
  <c r="J57"/>
  <c r="J58" s="1"/>
  <c r="L57"/>
  <c r="L74"/>
  <c r="L47"/>
  <c r="K20" i="33"/>
  <c r="D24" l="1"/>
  <c r="D15"/>
  <c r="F21"/>
  <c r="M30"/>
  <c r="F30"/>
  <c r="F15"/>
  <c r="D34" i="26"/>
  <c r="E58" i="16"/>
  <c r="F39" i="33"/>
  <c r="F40" s="1"/>
  <c r="J30"/>
  <c r="C38" i="24"/>
  <c r="D32" i="26" s="1"/>
  <c r="D33" s="1"/>
  <c r="D35" s="1"/>
  <c r="F23" i="33"/>
  <c r="E47" i="24"/>
  <c r="E74"/>
  <c r="E50"/>
  <c r="E57" s="1"/>
  <c r="M33" i="33"/>
  <c r="L58" i="24"/>
  <c r="M34" i="33" s="1"/>
  <c r="C58" i="24"/>
  <c r="D33" i="33"/>
  <c r="D38" s="1"/>
  <c r="D18" i="26"/>
  <c r="C74" i="24"/>
  <c r="I21" i="33"/>
  <c r="H30"/>
  <c r="I33" i="26"/>
  <c r="I47" i="24"/>
  <c r="I67"/>
  <c r="I74"/>
  <c r="G67"/>
  <c r="G74"/>
  <c r="G47"/>
  <c r="F35" i="26"/>
  <c r="K16"/>
  <c r="K18" s="1"/>
  <c r="F34"/>
  <c r="I16"/>
  <c r="I18" s="1"/>
  <c r="J21" i="33"/>
  <c r="J24"/>
  <c r="M21"/>
  <c r="M34" i="26"/>
  <c r="J15" i="33"/>
  <c r="K21"/>
  <c r="J18" i="26"/>
  <c r="J35"/>
  <c r="M76"/>
  <c r="K67"/>
  <c r="K74" s="1"/>
  <c r="J74"/>
  <c r="J76" s="1"/>
  <c r="M35"/>
  <c r="F76"/>
  <c r="F18"/>
  <c r="H18"/>
  <c r="H34"/>
  <c r="H35"/>
  <c r="H67"/>
  <c r="H74" s="1"/>
  <c r="H76" s="1"/>
  <c r="I67"/>
  <c r="I74" s="1"/>
  <c r="K34"/>
  <c r="K33"/>
  <c r="J34"/>
  <c r="J74" i="16"/>
  <c r="J47"/>
  <c r="L58"/>
  <c r="M39" i="33"/>
  <c r="D34" l="1"/>
  <c r="F28"/>
  <c r="F24"/>
  <c r="F33"/>
  <c r="F38" s="1"/>
  <c r="E58" i="24"/>
  <c r="K76" i="26"/>
  <c r="I35"/>
  <c r="I34"/>
  <c r="I76"/>
  <c r="K35"/>
  <c r="M38" i="33"/>
  <c r="M40"/>
  <c r="K40"/>
  <c r="F34" l="1"/>
</calcChain>
</file>

<file path=xl/sharedStrings.xml><?xml version="1.0" encoding="utf-8"?>
<sst xmlns="http://schemas.openxmlformats.org/spreadsheetml/2006/main" count="256" uniqueCount="105">
  <si>
    <t>Legal</t>
  </si>
  <si>
    <t>Tax &amp; Accounting</t>
  </si>
  <si>
    <t>Eliminations</t>
  </si>
  <si>
    <t>Adjustments:</t>
  </si>
  <si>
    <t>Dividends declared on preference shares</t>
  </si>
  <si>
    <t>Adjusted earnings from continuing operations</t>
  </si>
  <si>
    <t>Adjusted earnings per share from continuing operations</t>
  </si>
  <si>
    <t>Adjusted earnings</t>
  </si>
  <si>
    <t>Revenues:</t>
  </si>
  <si>
    <t>Revenues from ongoing businesses</t>
  </si>
  <si>
    <t>Weighted average shares (in millions)</t>
  </si>
  <si>
    <t>Integration programs expenses</t>
  </si>
  <si>
    <t>Q1</t>
  </si>
  <si>
    <t>Q2</t>
  </si>
  <si>
    <t>Q3</t>
  </si>
  <si>
    <t>Q4</t>
  </si>
  <si>
    <t>Full Year</t>
  </si>
  <si>
    <t>Adjusted EBITDA</t>
  </si>
  <si>
    <t>Underlying Operating Profit</t>
  </si>
  <si>
    <t>Interest expense</t>
  </si>
  <si>
    <t>Income tax</t>
  </si>
  <si>
    <t>Non-controlling interests</t>
  </si>
  <si>
    <t>Adjusted EBITDA  margin summary:</t>
  </si>
  <si>
    <t>Adjusted EBITDA:</t>
  </si>
  <si>
    <t>Depreciation and amortization of computer software:</t>
  </si>
  <si>
    <t>Intellectual Property &amp; Science</t>
  </si>
  <si>
    <t>Adjusted EBITDA Margin</t>
  </si>
  <si>
    <t>Depreciation and amortization from ongoing businesses</t>
  </si>
  <si>
    <t>Underlying Operating Profit:</t>
  </si>
  <si>
    <t>Underlying Operating Profit margin summary:</t>
  </si>
  <si>
    <t>Underlying Operating Profit margin</t>
  </si>
  <si>
    <t>Underlying Operating Profit margin %</t>
  </si>
  <si>
    <t>THOMSON REUTERS CORPORATION</t>
  </si>
  <si>
    <t>Trading</t>
  </si>
  <si>
    <t>Investors</t>
  </si>
  <si>
    <t>Marketplaces</t>
  </si>
  <si>
    <t>Financial &amp; Risk</t>
  </si>
  <si>
    <t>(millions of U.S. dollars, except as otherwise indicated and except for per share data)</t>
  </si>
  <si>
    <t xml:space="preserve">Reconciliation of Ongoing Revenues </t>
  </si>
  <si>
    <t xml:space="preserve">Revenues </t>
  </si>
  <si>
    <t xml:space="preserve">Revenues from ongoing businesses </t>
  </si>
  <si>
    <t>Amortization of other identifiable intangible assets</t>
  </si>
  <si>
    <t>Fair value adjustments</t>
  </si>
  <si>
    <t xml:space="preserve">Underlying operating profit </t>
  </si>
  <si>
    <t xml:space="preserve">Underlying operating profit margin </t>
  </si>
  <si>
    <t xml:space="preserve">Adjusted EBITDA margin </t>
  </si>
  <si>
    <t xml:space="preserve">Tax on above items </t>
  </si>
  <si>
    <r>
      <t>Interim period effective tax rate normalization</t>
    </r>
    <r>
      <rPr>
        <sz val="8"/>
        <rFont val="Arial"/>
        <family val="2"/>
      </rPr>
      <t xml:space="preserve"> </t>
    </r>
  </si>
  <si>
    <t>Discrete tax items</t>
  </si>
  <si>
    <t>Discontinued operations</t>
  </si>
  <si>
    <t xml:space="preserve">Adjusted earnings from continuing operations </t>
  </si>
  <si>
    <t xml:space="preserve">Adjusted earnings per share from continuing operations </t>
  </si>
  <si>
    <r>
      <t xml:space="preserve">Diluted weighted average common shares </t>
    </r>
    <r>
      <rPr>
        <i/>
        <sz val="10"/>
        <rFont val="Arial"/>
        <family val="2"/>
      </rPr>
      <t xml:space="preserve"> </t>
    </r>
    <r>
      <rPr>
        <i/>
        <sz val="9"/>
        <rFont val="Arial"/>
        <family val="2"/>
      </rPr>
      <t>(in millions)</t>
    </r>
  </si>
  <si>
    <t xml:space="preserve">Net interest expense  </t>
  </si>
  <si>
    <t>Amortization of computer software</t>
  </si>
  <si>
    <t xml:space="preserve">Depreciation </t>
  </si>
  <si>
    <t>EBITDA</t>
  </si>
  <si>
    <t>Goodwill impairment</t>
  </si>
  <si>
    <t>Goodwill impairment attributable to non-controlling interests</t>
  </si>
  <si>
    <t>Other businesses</t>
  </si>
  <si>
    <t>Revenues</t>
  </si>
  <si>
    <t>Reconciliation of Operating Profit (Loss) to Underlying Operating Profit and Adjusted EBITDA</t>
  </si>
  <si>
    <t>Operating Profit (Loss)</t>
  </si>
  <si>
    <t>Governance, Risk &amp; Compliance</t>
  </si>
  <si>
    <t>Reconciliations to Most Directly Comparable IFRS Measure (unaudited)</t>
  </si>
  <si>
    <t>Corporate &amp; Other (includes Media)</t>
  </si>
  <si>
    <t>ONGOING BUSINESSES - REPORTED</t>
  </si>
  <si>
    <t>ONGOING BUSINESSES- REPORTED</t>
  </si>
  <si>
    <t xml:space="preserve"> </t>
  </si>
  <si>
    <t>2013 Announced disposals</t>
  </si>
  <si>
    <t>Adjusted EBITDA- Reported</t>
  </si>
  <si>
    <t>Adjusted EBITDA margin -Reported</t>
  </si>
  <si>
    <t>Underlying Operating Profit- Reported</t>
  </si>
  <si>
    <t>Adjusted EBITDA- Restated</t>
  </si>
  <si>
    <t>Adjusted EBITDA margin -Restated</t>
  </si>
  <si>
    <t>Underlying Operating Profit margin -Reported</t>
  </si>
  <si>
    <t>Underlying Operating Profit - Restated</t>
  </si>
  <si>
    <t xml:space="preserve">Underlying Operating Profit margin - Restated </t>
  </si>
  <si>
    <r>
      <t xml:space="preserve">Diluted weighted average common shares </t>
    </r>
    <r>
      <rPr>
        <i/>
        <sz val="12"/>
        <rFont val="Arial"/>
        <family val="2"/>
      </rPr>
      <t xml:space="preserve"> (in millions)</t>
    </r>
  </si>
  <si>
    <t>Revenues from ongoing businesses- Restated</t>
  </si>
  <si>
    <t>Revenues from ongoing businesses- Reported</t>
  </si>
  <si>
    <t>Adjusted earnings from continuing operations- Reported</t>
  </si>
  <si>
    <t>Adjusted earnings per share from continuing operations- Reported</t>
  </si>
  <si>
    <t>Adjusted earnings from continuing operations- Restated</t>
  </si>
  <si>
    <t>Adjusted earnings per share from continuing operations- Restated</t>
  </si>
  <si>
    <t>Reconciliations from Reported to Restated Operating Results -- Non- IFRS Measures (unaudited)</t>
  </si>
  <si>
    <t>Adjustments to remove:</t>
  </si>
  <si>
    <t>Other operating losses (gains), net</t>
  </si>
  <si>
    <t>Operating (profit) loss from Other businesses</t>
  </si>
  <si>
    <t>Depreciation and amortization of computer software (excluding Other businesses)</t>
  </si>
  <si>
    <t>Reconciliation of Earnings (Loss) Attributable to Common Shareholders to Adjusted Earnings from Continuing Operations</t>
  </si>
  <si>
    <t>Earnings (loss) attributable to common shareholders</t>
  </si>
  <si>
    <t>Other finance (income) cost, net</t>
  </si>
  <si>
    <t>Share of post tax earnings and impairment in equity method investees</t>
  </si>
  <si>
    <t xml:space="preserve">Reconciliation of Earnings (Loss) from Continuing Operations to Adjusted EBITDA  </t>
  </si>
  <si>
    <t>Tax expense (benefit)</t>
  </si>
  <si>
    <t>Other finance (income) costs</t>
  </si>
  <si>
    <t>EBITDA from Other businesses</t>
  </si>
  <si>
    <t>Earnings (loss) from continuing operations</t>
  </si>
  <si>
    <t>IFRS accounting adjustment- Joint Venture</t>
  </si>
  <si>
    <t>IFRS accounting adjustment- Pension</t>
  </si>
  <si>
    <t>ONGOING BUSINESSES - RESTATED</t>
  </si>
  <si>
    <t>EXCLUDES CORPORATE SERVICES AND OTHER PLANNED 2013 DISPOSALS; INCLUDES ADOPTION OF 2013 ACCOUNTING STANDARDS</t>
  </si>
  <si>
    <t xml:space="preserve">BUSINESS AND SEGMENT INFORMATION (UNAUDITED) </t>
  </si>
  <si>
    <t>BUSINESS AND SEGMENT INFORMATION (UNAUDITED)</t>
  </si>
</sst>
</file>

<file path=xl/styles.xml><?xml version="1.0" encoding="utf-8"?>
<styleSheet xmlns="http://schemas.openxmlformats.org/spreadsheetml/2006/main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#,##0.00_ ;[Red]\-#,##0.00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10"/>
      <color indexed="55"/>
      <name val="Arial"/>
      <family val="2"/>
    </font>
    <font>
      <sz val="20"/>
      <color rgb="FFFFC00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8"/>
      </patternFill>
    </fill>
    <fill>
      <patternFill patternType="solid">
        <fgColor indexed="4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22"/>
        <bgColor indexed="9"/>
      </patternFill>
    </fill>
    <fill>
      <patternFill patternType="lightGray">
        <fgColor indexed="9"/>
        <bgColor indexed="9"/>
      </patternFill>
    </fill>
    <fill>
      <patternFill patternType="mediumGray">
        <fgColor indexed="9"/>
        <bgColor indexed="44"/>
      </patternFill>
    </fill>
    <fill>
      <patternFill patternType="darkGray">
        <fgColor indexed="9"/>
        <bgColor indexed="29"/>
      </patternFill>
    </fill>
    <fill>
      <patternFill patternType="lightGray">
        <fgColor indexed="43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9100"/>
        <bgColor indexed="64"/>
      </patternFill>
    </fill>
    <fill>
      <patternFill patternType="solid">
        <fgColor indexed="2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>
      <alignment horizontal="left"/>
    </xf>
    <xf numFmtId="167" fontId="14" fillId="0" borderId="0">
      <alignment horizontal="right"/>
    </xf>
    <xf numFmtId="0" fontId="15" fillId="22" borderId="0">
      <alignment horizontal="left"/>
    </xf>
    <xf numFmtId="0" fontId="15" fillId="23" borderId="0">
      <alignment horizontal="left"/>
    </xf>
    <xf numFmtId="0" fontId="16" fillId="0" borderId="0">
      <alignment horizontal="left"/>
    </xf>
    <xf numFmtId="0" fontId="17" fillId="0" borderId="0"/>
    <xf numFmtId="0" fontId="18" fillId="0" borderId="0">
      <alignment horizontal="left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4" fillId="25" borderId="7" applyNumberFormat="0" applyFont="0" applyAlignment="0" applyProtection="0"/>
    <xf numFmtId="0" fontId="22" fillId="20" borderId="8" applyNumberFormat="0" applyAlignment="0" applyProtection="0"/>
    <xf numFmtId="9" fontId="2" fillId="0" borderId="0" applyFont="0" applyFill="0" applyBorder="0" applyAlignment="0" applyProtection="0"/>
    <xf numFmtId="40" fontId="2" fillId="26" borderId="9"/>
    <xf numFmtId="40" fontId="2" fillId="27" borderId="9"/>
    <xf numFmtId="49" fontId="23" fillId="28" borderId="10">
      <alignment horizontal="center"/>
    </xf>
    <xf numFmtId="49" fontId="3" fillId="28" borderId="10">
      <alignment horizontal="center"/>
    </xf>
    <xf numFmtId="49" fontId="24" fillId="0" borderId="0"/>
    <xf numFmtId="0" fontId="2" fillId="29" borderId="9"/>
    <xf numFmtId="40" fontId="2" fillId="26" borderId="9"/>
    <xf numFmtId="40" fontId="2" fillId="27" borderId="9"/>
    <xf numFmtId="49" fontId="23" fillId="28" borderId="10">
      <alignment vertical="center"/>
    </xf>
    <xf numFmtId="49" fontId="3" fillId="28" borderId="10">
      <alignment vertical="center"/>
    </xf>
    <xf numFmtId="49" fontId="3" fillId="0" borderId="0">
      <alignment horizontal="right"/>
    </xf>
    <xf numFmtId="40" fontId="2" fillId="30" borderId="9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3" fillId="33" borderId="0"/>
    <xf numFmtId="44" fontId="37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28" fillId="0" borderId="0" xfId="0" applyFont="1"/>
    <xf numFmtId="165" fontId="29" fillId="0" borderId="0" xfId="28" applyNumberFormat="1" applyFont="1" applyBorder="1" applyAlignment="1">
      <alignment horizontal="center"/>
    </xf>
    <xf numFmtId="0" fontId="30" fillId="0" borderId="0" xfId="0" applyFont="1"/>
    <xf numFmtId="0" fontId="28" fillId="0" borderId="0" xfId="0" applyFont="1" applyBorder="1"/>
    <xf numFmtId="165" fontId="28" fillId="0" borderId="0" xfId="28" applyNumberFormat="1" applyFont="1" applyFill="1" applyBorder="1"/>
    <xf numFmtId="165" fontId="28" fillId="0" borderId="0" xfId="28" applyNumberFormat="1" applyFont="1"/>
    <xf numFmtId="165" fontId="28" fillId="0" borderId="0" xfId="28" applyNumberFormat="1" applyFont="1" applyFill="1"/>
    <xf numFmtId="0" fontId="29" fillId="0" borderId="0" xfId="0" applyFont="1"/>
    <xf numFmtId="0" fontId="28" fillId="0" borderId="0" xfId="0" applyFont="1" applyAlignment="1">
      <alignment horizontal="left"/>
    </xf>
    <xf numFmtId="165" fontId="28" fillId="0" borderId="13" xfId="28" applyNumberFormat="1" applyFont="1" applyBorder="1"/>
    <xf numFmtId="165" fontId="28" fillId="0" borderId="13" xfId="28" applyNumberFormat="1" applyFont="1" applyFill="1" applyBorder="1"/>
    <xf numFmtId="165" fontId="29" fillId="0" borderId="0" xfId="28" applyNumberFormat="1" applyFont="1" applyFill="1" applyBorder="1"/>
    <xf numFmtId="165" fontId="28" fillId="0" borderId="0" xfId="28" applyNumberFormat="1" applyFont="1" applyBorder="1"/>
    <xf numFmtId="165" fontId="29" fillId="0" borderId="14" xfId="28" applyNumberFormat="1" applyFont="1" applyFill="1" applyBorder="1"/>
    <xf numFmtId="0" fontId="28" fillId="0" borderId="0" xfId="0" applyFont="1" applyFill="1"/>
    <xf numFmtId="43" fontId="28" fillId="0" borderId="0" xfId="28" applyFont="1" applyFill="1"/>
    <xf numFmtId="0" fontId="29" fillId="0" borderId="0" xfId="0" applyFont="1" applyFill="1" applyBorder="1"/>
    <xf numFmtId="37" fontId="29" fillId="0" borderId="0" xfId="28" applyNumberFormat="1" applyFont="1" applyFill="1" applyBorder="1"/>
    <xf numFmtId="0" fontId="28" fillId="0" borderId="0" xfId="0" applyFont="1" applyFill="1" applyBorder="1"/>
    <xf numFmtId="166" fontId="29" fillId="0" borderId="15" xfId="47" applyNumberFormat="1" applyFont="1" applyFill="1" applyBorder="1"/>
    <xf numFmtId="0" fontId="30" fillId="0" borderId="0" xfId="0" applyFont="1" applyFill="1" applyBorder="1"/>
    <xf numFmtId="0" fontId="28" fillId="0" borderId="0" xfId="0" applyFont="1" applyFill="1" applyBorder="1" applyAlignment="1">
      <alignment horizontal="left" indent="1"/>
    </xf>
    <xf numFmtId="166" fontId="28" fillId="0" borderId="0" xfId="47" applyNumberFormat="1" applyFont="1" applyFill="1"/>
    <xf numFmtId="166" fontId="28" fillId="0" borderId="0" xfId="47" applyNumberFormat="1" applyFont="1" applyFill="1" applyBorder="1"/>
    <xf numFmtId="164" fontId="28" fillId="0" borderId="0" xfId="28" applyNumberFormat="1" applyFont="1"/>
    <xf numFmtId="164" fontId="29" fillId="0" borderId="0" xfId="28" applyNumberFormat="1" applyFont="1"/>
    <xf numFmtId="164" fontId="28" fillId="0" borderId="0" xfId="28" applyNumberFormat="1" applyFont="1" applyFill="1"/>
    <xf numFmtId="166" fontId="28" fillId="0" borderId="0" xfId="47" applyNumberFormat="1" applyFont="1"/>
    <xf numFmtId="166" fontId="29" fillId="0" borderId="0" xfId="47" applyNumberFormat="1" applyFont="1" applyBorder="1"/>
    <xf numFmtId="43" fontId="28" fillId="0" borderId="0" xfId="28" applyFont="1"/>
    <xf numFmtId="0" fontId="0" fillId="0" borderId="0" xfId="0" applyFill="1"/>
    <xf numFmtId="0" fontId="31" fillId="0" borderId="0" xfId="0" applyFont="1" applyFill="1" applyAlignment="1">
      <alignment wrapText="1"/>
    </xf>
    <xf numFmtId="0" fontId="32" fillId="0" borderId="0" xfId="0" applyFont="1" applyFill="1" applyAlignment="1">
      <alignment horizontal="center"/>
    </xf>
    <xf numFmtId="0" fontId="0" fillId="31" borderId="0" xfId="0" applyFill="1"/>
    <xf numFmtId="0" fontId="34" fillId="31" borderId="0" xfId="60" applyFont="1" applyFill="1" applyAlignment="1">
      <alignment vertical="top" wrapText="1"/>
    </xf>
    <xf numFmtId="37" fontId="17" fillId="31" borderId="13" xfId="0" applyNumberFormat="1" applyFont="1" applyFill="1" applyBorder="1" applyAlignment="1">
      <alignment horizontal="center"/>
    </xf>
    <xf numFmtId="165" fontId="28" fillId="0" borderId="0" xfId="28" applyNumberFormat="1" applyFont="1" applyFill="1" applyAlignment="1">
      <alignment horizontal="right"/>
    </xf>
    <xf numFmtId="165" fontId="28" fillId="0" borderId="13" xfId="28" applyNumberFormat="1" applyFont="1" applyFill="1" applyBorder="1" applyAlignment="1">
      <alignment horizontal="right"/>
    </xf>
    <xf numFmtId="165" fontId="29" fillId="0" borderId="14" xfId="28" applyNumberFormat="1" applyFont="1" applyFill="1" applyBorder="1" applyAlignment="1">
      <alignment horizontal="right"/>
    </xf>
    <xf numFmtId="43" fontId="28" fillId="0" borderId="0" xfId="28" applyFont="1" applyFill="1" applyAlignment="1">
      <alignment horizontal="right"/>
    </xf>
    <xf numFmtId="165" fontId="28" fillId="0" borderId="0" xfId="28" applyNumberFormat="1" applyFont="1" applyFill="1" applyBorder="1" applyAlignment="1">
      <alignment horizontal="right"/>
    </xf>
    <xf numFmtId="43" fontId="28" fillId="0" borderId="0" xfId="28" applyFont="1" applyBorder="1" applyAlignment="1">
      <alignment horizontal="right"/>
    </xf>
    <xf numFmtId="43" fontId="28" fillId="0" borderId="0" xfId="28" applyFont="1" applyFill="1" applyBorder="1" applyAlignment="1">
      <alignment horizontal="right"/>
    </xf>
    <xf numFmtId="164" fontId="28" fillId="0" borderId="0" xfId="28" applyNumberFormat="1" applyFont="1" applyFill="1" applyBorder="1" applyAlignment="1">
      <alignment horizontal="right"/>
    </xf>
    <xf numFmtId="166" fontId="28" fillId="0" borderId="0" xfId="47" applyNumberFormat="1" applyFont="1" applyFill="1" applyAlignment="1">
      <alignment horizontal="right"/>
    </xf>
    <xf numFmtId="166" fontId="28" fillId="0" borderId="0" xfId="47" applyNumberFormat="1" applyFont="1" applyFill="1" applyBorder="1" applyAlignment="1">
      <alignment horizontal="right"/>
    </xf>
    <xf numFmtId="166" fontId="29" fillId="0" borderId="0" xfId="47" applyNumberFormat="1" applyFont="1" applyBorder="1" applyAlignment="1">
      <alignment horizontal="right"/>
    </xf>
    <xf numFmtId="37" fontId="28" fillId="0" borderId="0" xfId="0" applyNumberFormat="1" applyFont="1" applyAlignment="1">
      <alignment horizontal="right"/>
    </xf>
    <xf numFmtId="165" fontId="28" fillId="0" borderId="0" xfId="28" applyNumberFormat="1" applyFont="1" applyAlignment="1">
      <alignment horizontal="right"/>
    </xf>
    <xf numFmtId="165" fontId="29" fillId="0" borderId="0" xfId="28" applyNumberFormat="1" applyFont="1" applyFill="1" applyBorder="1" applyAlignment="1">
      <alignment horizontal="right"/>
    </xf>
    <xf numFmtId="165" fontId="28" fillId="0" borderId="13" xfId="28" applyNumberFormat="1" applyFont="1" applyBorder="1" applyAlignment="1">
      <alignment horizontal="right"/>
    </xf>
    <xf numFmtId="0" fontId="28" fillId="0" borderId="0" xfId="0" applyFont="1" applyFill="1" applyAlignment="1">
      <alignment horizontal="right"/>
    </xf>
    <xf numFmtId="37" fontId="28" fillId="0" borderId="0" xfId="0" applyNumberFormat="1" applyFont="1" applyBorder="1" applyAlignment="1">
      <alignment horizontal="right"/>
    </xf>
    <xf numFmtId="43" fontId="28" fillId="0" borderId="0" xfId="28" applyFont="1" applyBorder="1"/>
    <xf numFmtId="0" fontId="32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7" fontId="29" fillId="0" borderId="0" xfId="28" applyNumberFormat="1" applyFont="1" applyFill="1" applyBorder="1" applyAlignment="1">
      <alignment horizontal="right"/>
    </xf>
    <xf numFmtId="164" fontId="28" fillId="0" borderId="0" xfId="28" applyNumberFormat="1" applyFont="1" applyBorder="1" applyAlignment="1">
      <alignment horizontal="right"/>
    </xf>
    <xf numFmtId="0" fontId="0" fillId="0" borderId="0" xfId="0" applyBorder="1"/>
    <xf numFmtId="0" fontId="17" fillId="0" borderId="0" xfId="0" applyFont="1"/>
    <xf numFmtId="166" fontId="17" fillId="0" borderId="0" xfId="47" applyNumberFormat="1" applyFont="1"/>
    <xf numFmtId="166" fontId="17" fillId="0" borderId="0" xfId="47" applyNumberFormat="1" applyFont="1" applyBorder="1" applyAlignment="1">
      <alignment horizontal="right"/>
    </xf>
    <xf numFmtId="0" fontId="31" fillId="31" borderId="0" xfId="60" applyFont="1" applyFill="1" applyAlignment="1">
      <alignment vertical="top" wrapText="1"/>
    </xf>
    <xf numFmtId="0" fontId="28" fillId="0" borderId="0" xfId="0" quotePrefix="1" applyFont="1" applyFill="1"/>
    <xf numFmtId="0" fontId="17" fillId="0" borderId="0" xfId="0" applyFont="1" applyFill="1" applyBorder="1"/>
    <xf numFmtId="165" fontId="28" fillId="0" borderId="0" xfId="28" applyNumberFormat="1" applyFont="1" applyBorder="1" applyAlignment="1">
      <alignment horizontal="right"/>
    </xf>
    <xf numFmtId="165" fontId="17" fillId="0" borderId="12" xfId="28" applyNumberFormat="1" applyFont="1" applyFill="1" applyBorder="1"/>
    <xf numFmtId="165" fontId="17" fillId="0" borderId="0" xfId="28" applyNumberFormat="1" applyFont="1" applyFill="1"/>
    <xf numFmtId="165" fontId="17" fillId="0" borderId="0" xfId="28" applyNumberFormat="1" applyFont="1" applyFill="1" applyBorder="1"/>
    <xf numFmtId="165" fontId="17" fillId="0" borderId="14" xfId="28" applyNumberFormat="1" applyFont="1" applyFill="1" applyBorder="1"/>
    <xf numFmtId="7" fontId="17" fillId="0" borderId="16" xfId="28" applyNumberFormat="1" applyFont="1" applyFill="1" applyBorder="1" applyAlignment="1">
      <alignment horizontal="right"/>
    </xf>
    <xf numFmtId="9" fontId="28" fillId="0" borderId="0" xfId="47" applyFont="1" applyFill="1" applyBorder="1"/>
    <xf numFmtId="9" fontId="28" fillId="0" borderId="0" xfId="47" applyFont="1" applyFill="1"/>
    <xf numFmtId="9" fontId="17" fillId="0" borderId="0" xfId="47" applyFont="1"/>
    <xf numFmtId="9" fontId="29" fillId="0" borderId="0" xfId="47" applyFont="1" applyBorder="1"/>
    <xf numFmtId="9" fontId="28" fillId="0" borderId="0" xfId="47" applyFont="1"/>
    <xf numFmtId="165" fontId="29" fillId="0" borderId="0" xfId="28" applyNumberFormat="1" applyFont="1" applyFill="1"/>
    <xf numFmtId="165" fontId="17" fillId="0" borderId="0" xfId="28" applyNumberFormat="1" applyFont="1"/>
    <xf numFmtId="165" fontId="17" fillId="0" borderId="0" xfId="28" applyNumberFormat="1" applyFont="1" applyBorder="1"/>
    <xf numFmtId="0" fontId="2" fillId="31" borderId="0" xfId="60" applyFont="1" applyFill="1" applyAlignment="1">
      <alignment vertical="top" wrapText="1"/>
    </xf>
    <xf numFmtId="165" fontId="17" fillId="0" borderId="0" xfId="28" applyNumberFormat="1" applyFont="1" applyFill="1" applyBorder="1" applyAlignment="1">
      <alignment horizontal="center"/>
    </xf>
    <xf numFmtId="0" fontId="35" fillId="0" borderId="0" xfId="0" applyFont="1"/>
    <xf numFmtId="0" fontId="2" fillId="0" borderId="0" xfId="0" applyFont="1" applyAlignment="1">
      <alignment horizontal="left" indent="1"/>
    </xf>
    <xf numFmtId="0" fontId="35" fillId="0" borderId="0" xfId="0" applyFont="1" applyAlignment="1">
      <alignment wrapText="1"/>
    </xf>
    <xf numFmtId="0" fontId="2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35" fillId="0" borderId="0" xfId="0" applyFont="1" applyAlignment="1"/>
    <xf numFmtId="0" fontId="0" fillId="0" borderId="0" xfId="0" applyFill="1" applyBorder="1"/>
    <xf numFmtId="0" fontId="35" fillId="0" borderId="0" xfId="0" applyFont="1" applyAlignment="1">
      <alignment horizontal="left" indent="1"/>
    </xf>
    <xf numFmtId="0" fontId="35" fillId="0" borderId="0" xfId="0" applyFont="1" applyFill="1"/>
    <xf numFmtId="0" fontId="2" fillId="0" borderId="0" xfId="0" applyFont="1" applyAlignment="1">
      <alignment horizontal="left" indent="2"/>
    </xf>
    <xf numFmtId="165" fontId="0" fillId="0" borderId="0" xfId="0" applyNumberFormat="1"/>
    <xf numFmtId="164" fontId="24" fillId="0" borderId="0" xfId="28" applyNumberFormat="1" applyFont="1" applyFill="1"/>
    <xf numFmtId="37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35" fillId="0" borderId="0" xfId="0" applyFont="1" applyFill="1" applyAlignment="1">
      <alignment wrapText="1"/>
    </xf>
    <xf numFmtId="0" fontId="35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1"/>
    </xf>
    <xf numFmtId="0" fontId="36" fillId="0" borderId="0" xfId="60" applyFont="1" applyFill="1" applyAlignment="1">
      <alignment vertical="top" wrapText="1"/>
    </xf>
    <xf numFmtId="165" fontId="17" fillId="0" borderId="17" xfId="28" applyNumberFormat="1" applyFont="1" applyFill="1" applyBorder="1"/>
    <xf numFmtId="44" fontId="17" fillId="0" borderId="16" xfId="64" applyFont="1" applyFill="1" applyBorder="1"/>
    <xf numFmtId="0" fontId="32" fillId="32" borderId="0" xfId="0" applyFont="1" applyFill="1" applyAlignment="1">
      <alignment horizontal="center"/>
    </xf>
    <xf numFmtId="0" fontId="2" fillId="31" borderId="0" xfId="63" applyFont="1" applyFill="1" applyAlignment="1">
      <alignment horizontal="left" wrapText="1"/>
    </xf>
    <xf numFmtId="0" fontId="32" fillId="32" borderId="0" xfId="0" applyFont="1" applyFill="1" applyAlignment="1">
      <alignment horizontal="center"/>
    </xf>
    <xf numFmtId="0" fontId="2" fillId="31" borderId="0" xfId="63" applyFont="1" applyFill="1" applyAlignment="1">
      <alignment horizontal="left" wrapText="1"/>
    </xf>
    <xf numFmtId="0" fontId="2" fillId="0" borderId="0" xfId="0" applyFont="1" applyFill="1"/>
    <xf numFmtId="44" fontId="28" fillId="0" borderId="0" xfId="64" applyFont="1" applyFill="1"/>
    <xf numFmtId="0" fontId="17" fillId="31" borderId="0" xfId="60" applyFont="1" applyFill="1" applyAlignment="1">
      <alignment vertical="top" wrapText="1"/>
    </xf>
    <xf numFmtId="0" fontId="28" fillId="31" borderId="0" xfId="60" applyFont="1" applyFill="1" applyAlignment="1">
      <alignment vertical="top" wrapText="1"/>
    </xf>
    <xf numFmtId="0" fontId="28" fillId="0" borderId="0" xfId="0" applyFont="1" applyAlignment="1"/>
    <xf numFmtId="0" fontId="39" fillId="0" borderId="0" xfId="0" applyFont="1" applyAlignment="1"/>
    <xf numFmtId="0" fontId="17" fillId="0" borderId="0" xfId="0" applyFont="1" applyAlignment="1"/>
    <xf numFmtId="0" fontId="28" fillId="0" borderId="0" xfId="0" applyFont="1" applyFill="1" applyAlignment="1">
      <alignment horizontal="left" indent="1"/>
    </xf>
    <xf numFmtId="166" fontId="40" fillId="0" borderId="0" xfId="47" applyNumberFormat="1" applyFont="1" applyFill="1"/>
    <xf numFmtId="165" fontId="40" fillId="0" borderId="0" xfId="28" applyNumberFormat="1" applyFont="1" applyFill="1"/>
    <xf numFmtId="0" fontId="24" fillId="0" borderId="0" xfId="0" applyFont="1"/>
    <xf numFmtId="166" fontId="41" fillId="0" borderId="0" xfId="47" applyNumberFormat="1" applyFont="1" applyFill="1"/>
    <xf numFmtId="166" fontId="41" fillId="0" borderId="0" xfId="47" applyNumberFormat="1" applyFont="1" applyFill="1" applyBorder="1"/>
    <xf numFmtId="0" fontId="42" fillId="0" borderId="0" xfId="0" applyFont="1"/>
    <xf numFmtId="164" fontId="28" fillId="0" borderId="0" xfId="28" applyNumberFormat="1" applyFont="1" applyBorder="1"/>
    <xf numFmtId="164" fontId="28" fillId="0" borderId="0" xfId="28" applyNumberFormat="1" applyFont="1" applyFill="1" applyBorder="1"/>
    <xf numFmtId="0" fontId="43" fillId="31" borderId="0" xfId="63" applyFont="1" applyFill="1" applyAlignment="1">
      <alignment wrapText="1"/>
    </xf>
    <xf numFmtId="0" fontId="36" fillId="31" borderId="0" xfId="60" applyFont="1" applyFill="1" applyAlignment="1">
      <alignment vertical="top" wrapText="1"/>
    </xf>
    <xf numFmtId="0" fontId="32" fillId="32" borderId="0" xfId="0" applyFont="1" applyFill="1" applyBorder="1" applyAlignment="1">
      <alignment horizontal="center"/>
    </xf>
    <xf numFmtId="0" fontId="43" fillId="31" borderId="0" xfId="63" applyFont="1" applyFill="1" applyAlignment="1">
      <alignment horizontal="left" wrapText="1"/>
    </xf>
    <xf numFmtId="0" fontId="24" fillId="31" borderId="0" xfId="63" applyFont="1" applyFill="1" applyAlignment="1">
      <alignment horizontal="left" wrapText="1"/>
    </xf>
    <xf numFmtId="0" fontId="32" fillId="32" borderId="0" xfId="0" applyFont="1" applyFill="1" applyAlignment="1">
      <alignment horizontal="center"/>
    </xf>
    <xf numFmtId="0" fontId="28" fillId="31" borderId="0" xfId="60" applyFont="1" applyFill="1" applyAlignment="1">
      <alignment horizontal="left" vertical="top" wrapText="1"/>
    </xf>
    <xf numFmtId="0" fontId="23" fillId="31" borderId="0" xfId="63" applyFont="1" applyFill="1" applyAlignment="1">
      <alignment horizontal="left" wrapText="1"/>
    </xf>
    <xf numFmtId="0" fontId="2" fillId="31" borderId="0" xfId="63" applyFont="1" applyFill="1" applyAlignment="1">
      <alignment horizontal="left" wrapText="1"/>
    </xf>
    <xf numFmtId="0" fontId="32" fillId="32" borderId="0" xfId="0" applyFont="1" applyFill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lumn Heading" xfId="63"/>
    <cellStyle name="Comma" xfId="28" builtinId="3"/>
    <cellStyle name="Currency" xfId="64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ABackgroundMembers" xfId="35"/>
    <cellStyle name="IADataCells" xfId="36"/>
    <cellStyle name="IADimensionNames" xfId="37"/>
    <cellStyle name="IAParentColumnHeader" xfId="38"/>
    <cellStyle name="IAParentRowHeader" xfId="39"/>
    <cellStyle name="IAReportTitle" xfId="40"/>
    <cellStyle name="IARowHeader" xfId="41"/>
    <cellStyle name="Input" xfId="42" builtinId="20" customBuiltin="1"/>
    <cellStyle name="Linked Cell" xfId="43" builtinId="24" customBuiltin="1"/>
    <cellStyle name="Neutral" xfId="44" builtinId="28" customBuiltin="1"/>
    <cellStyle name="Normal" xfId="0" builtinId="0"/>
    <cellStyle name="Normal 2" xfId="65"/>
    <cellStyle name="Note" xfId="45" builtinId="10" customBuiltin="1"/>
    <cellStyle name="Output" xfId="46" builtinId="21" customBuiltin="1"/>
    <cellStyle name="Percent" xfId="47" builtinId="5"/>
    <cellStyle name="SAS FM Client calculated data cell (data entry table)" xfId="48"/>
    <cellStyle name="SAS FM Client calculated data cell (read only table)" xfId="49"/>
    <cellStyle name="SAS FM Column drillable header" xfId="50"/>
    <cellStyle name="SAS FM Column header" xfId="51"/>
    <cellStyle name="SAS FM Drill path" xfId="52"/>
    <cellStyle name="SAS FM Invalid data cell" xfId="53"/>
    <cellStyle name="SAS FM Read-only data cell (data entry table)" xfId="54"/>
    <cellStyle name="SAS FM Read-only data cell (read-only table)" xfId="55"/>
    <cellStyle name="SAS FM Row drillable header" xfId="56"/>
    <cellStyle name="SAS FM Row header" xfId="57"/>
    <cellStyle name="SAS FM Slicers" xfId="58"/>
    <cellStyle name="SAS FM Writeable data cell" xfId="59"/>
    <cellStyle name="Title" xfId="60" builtinId="15" customBuiltin="1"/>
    <cellStyle name="Total" xfId="61" builtinId="25" customBuiltin="1"/>
    <cellStyle name="Warning Text" xfId="62" builtinId="11" customBuiltin="1"/>
  </cellStyles>
  <dxfs count="0"/>
  <tableStyles count="0" defaultTableStyle="TableStyleMedium9" defaultPivotStyle="PivotStyleLight16"/>
  <colors>
    <mruColors>
      <color rgb="FF03AD13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ianjohnson\Local%20Settings\Temporary%20Internet%20Files\OLK19\Reuters%20-%20Leasehold%20Interest%20Model101206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seph.scarfone\Local%20Settings\Temporary%20Internet%20Files\OLK9\72972_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n-Value Leases"/>
      <sheetName val="Value Leases Detail"/>
      <sheetName val="Months Remaining"/>
      <sheetName val="Contract Cash Flow"/>
      <sheetName val="Market Rent Calc"/>
      <sheetName val="Market Cash Flow"/>
      <sheetName val="Above Below Mkt Calc"/>
      <sheetName val="Above Below Mkt Sum by lease"/>
    </sheetNames>
    <sheetDataSet>
      <sheetData sheetId="0"/>
      <sheetData sheetId="1"/>
      <sheetData sheetId="2"/>
      <sheetData sheetId="3" refreshError="1">
        <row r="4">
          <cell r="A4">
            <v>1</v>
          </cell>
          <cell r="B4" t="e">
            <v>#N/A</v>
          </cell>
          <cell r="C4" t="e">
            <v>#N/A</v>
          </cell>
          <cell r="D4" t="e">
            <v>#N/A</v>
          </cell>
          <cell r="E4" t="e">
            <v>#N/A</v>
          </cell>
          <cell r="F4">
            <v>0</v>
          </cell>
          <cell r="G4" t="e">
            <v>#N/A</v>
          </cell>
          <cell r="H4" t="e">
            <v>#N/A</v>
          </cell>
          <cell r="I4" t="e">
            <v>#N/A</v>
          </cell>
          <cell r="J4" t="e">
            <v>#N/A</v>
          </cell>
        </row>
        <row r="5">
          <cell r="A5">
            <v>2</v>
          </cell>
          <cell r="B5" t="str">
            <v>US, New York</v>
          </cell>
          <cell r="C5" t="str">
            <v xml:space="preserve">3 Times Square  </v>
          </cell>
          <cell r="D5" t="str">
            <v>Office</v>
          </cell>
          <cell r="E5">
            <v>407633</v>
          </cell>
          <cell r="F5">
            <v>10490870.5152</v>
          </cell>
          <cell r="G5">
            <v>44518</v>
          </cell>
          <cell r="H5" t="str">
            <v>11/21</v>
          </cell>
          <cell r="I5">
            <v>170</v>
          </cell>
          <cell r="J5">
            <v>25.736067774689488</v>
          </cell>
        </row>
        <row r="6">
          <cell r="A6">
            <v>3</v>
          </cell>
          <cell r="B6" t="str">
            <v>France, Paris</v>
          </cell>
          <cell r="C6" t="str">
            <v xml:space="preserve">6-8 bd Haussmann  </v>
          </cell>
          <cell r="D6" t="str">
            <v>Office</v>
          </cell>
          <cell r="E6">
            <v>52624.7071</v>
          </cell>
          <cell r="F6">
            <v>6567974.4000000004</v>
          </cell>
          <cell r="G6">
            <v>41639</v>
          </cell>
          <cell r="H6" t="str">
            <v>12/13</v>
          </cell>
          <cell r="I6">
            <v>75</v>
          </cell>
          <cell r="J6">
            <v>124.80780914408169</v>
          </cell>
        </row>
        <row r="7">
          <cell r="A7">
            <v>6</v>
          </cell>
          <cell r="B7" t="str">
            <v>US, Nutley</v>
          </cell>
          <cell r="C7" t="str">
            <v xml:space="preserve">492 River Road </v>
          </cell>
          <cell r="D7" t="str">
            <v>Office</v>
          </cell>
          <cell r="E7">
            <v>84500</v>
          </cell>
          <cell r="F7">
            <v>2596790.4</v>
          </cell>
          <cell r="G7">
            <v>44330</v>
          </cell>
          <cell r="H7" t="str">
            <v>5/21</v>
          </cell>
          <cell r="I7">
            <v>164</v>
          </cell>
          <cell r="J7">
            <v>30.731247337278106</v>
          </cell>
        </row>
        <row r="8">
          <cell r="A8">
            <v>7</v>
          </cell>
          <cell r="B8" t="str">
            <v>US, Hazlewood</v>
          </cell>
          <cell r="C8" t="str">
            <v>587 McDonnell Boulevard</v>
          </cell>
          <cell r="D8" t="str">
            <v>Office</v>
          </cell>
          <cell r="E8">
            <v>109000</v>
          </cell>
          <cell r="F8">
            <v>2333472</v>
          </cell>
          <cell r="G8">
            <v>45322</v>
          </cell>
          <cell r="H8" t="str">
            <v>1/24</v>
          </cell>
          <cell r="I8">
            <v>196</v>
          </cell>
          <cell r="J8">
            <v>21.408000000000001</v>
          </cell>
        </row>
        <row r="9">
          <cell r="A9">
            <v>10</v>
          </cell>
          <cell r="B9" t="str">
            <v>Russian Federation, Moscow</v>
          </cell>
          <cell r="C9" t="str">
            <v>5 Petrovka street Berlin Haus "Business Centre"</v>
          </cell>
          <cell r="D9" t="str">
            <v>Office</v>
          </cell>
          <cell r="E9">
            <v>39665</v>
          </cell>
          <cell r="F9">
            <v>2076860.0128000001</v>
          </cell>
          <cell r="G9">
            <v>41213</v>
          </cell>
          <cell r="H9" t="str">
            <v>10/12</v>
          </cell>
          <cell r="I9">
            <v>61</v>
          </cell>
          <cell r="J9">
            <v>52.360015449388634</v>
          </cell>
        </row>
        <row r="10">
          <cell r="A10">
            <v>11</v>
          </cell>
          <cell r="B10" t="str">
            <v>France, Puteaux Cedex</v>
          </cell>
          <cell r="C10" t="str">
            <v xml:space="preserve">6 Rue Godefroy  </v>
          </cell>
          <cell r="D10" t="str">
            <v>Office</v>
          </cell>
          <cell r="E10">
            <v>73970</v>
          </cell>
          <cell r="F10">
            <v>1906739.2</v>
          </cell>
          <cell r="G10">
            <v>41270</v>
          </cell>
          <cell r="H10" t="str">
            <v>12/12</v>
          </cell>
          <cell r="I10">
            <v>63</v>
          </cell>
          <cell r="J10">
            <v>25.777196160605651</v>
          </cell>
        </row>
        <row r="11">
          <cell r="A11">
            <v>12</v>
          </cell>
          <cell r="B11" t="str">
            <v>Australia, Sydney</v>
          </cell>
          <cell r="C11" t="str">
            <v xml:space="preserve">60 Margaret Street </v>
          </cell>
          <cell r="D11" t="str">
            <v>Office</v>
          </cell>
          <cell r="E11">
            <v>57211</v>
          </cell>
          <cell r="F11">
            <v>1772924.9280000001</v>
          </cell>
          <cell r="G11">
            <v>42079</v>
          </cell>
          <cell r="H11" t="str">
            <v>3/15</v>
          </cell>
          <cell r="I11">
            <v>90</v>
          </cell>
          <cell r="J11">
            <v>30.989231581339254</v>
          </cell>
        </row>
        <row r="12">
          <cell r="A12">
            <v>13</v>
          </cell>
          <cell r="B12" t="str">
            <v>Thailand, Bangkok</v>
          </cell>
          <cell r="C12" t="str">
            <v>U Chu Liang Building 968 Rama IV Road Silom</v>
          </cell>
          <cell r="D12" t="str">
            <v>Office</v>
          </cell>
          <cell r="E12">
            <v>162421</v>
          </cell>
          <cell r="F12">
            <v>1446401.5488</v>
          </cell>
          <cell r="G12">
            <v>40359</v>
          </cell>
          <cell r="H12" t="str">
            <v>6/10</v>
          </cell>
          <cell r="I12">
            <v>33</v>
          </cell>
          <cell r="J12">
            <v>8.9052619353408726</v>
          </cell>
        </row>
        <row r="13">
          <cell r="A13">
            <v>14</v>
          </cell>
          <cell r="B13" t="str">
            <v>Hong Kong, Hong Kong</v>
          </cell>
          <cell r="C13" t="str">
            <v xml:space="preserve">10/F Cityplaza 3 14 Taikoo Wan Road </v>
          </cell>
          <cell r="D13" t="str">
            <v>Office</v>
          </cell>
          <cell r="E13">
            <v>56953</v>
          </cell>
          <cell r="F13">
            <v>1404067.9424000001</v>
          </cell>
          <cell r="G13">
            <v>40421</v>
          </cell>
          <cell r="H13" t="str">
            <v>8/10</v>
          </cell>
          <cell r="I13">
            <v>35</v>
          </cell>
          <cell r="J13">
            <v>24.653098913138905</v>
          </cell>
        </row>
        <row r="14">
          <cell r="A14">
            <v>16</v>
          </cell>
          <cell r="B14" t="str">
            <v>US, Washington DC</v>
          </cell>
          <cell r="C14" t="str">
            <v>1333 H Street NW Suite 500</v>
          </cell>
          <cell r="D14" t="str">
            <v>Office</v>
          </cell>
          <cell r="E14">
            <v>43674</v>
          </cell>
          <cell r="F14">
            <v>1245123.5327999999</v>
          </cell>
          <cell r="G14">
            <v>41274</v>
          </cell>
          <cell r="H14" t="str">
            <v>12/12</v>
          </cell>
          <cell r="I14">
            <v>63</v>
          </cell>
          <cell r="J14">
            <v>28.509491523560929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Adj Earn (2)"/>
      <sheetName val="Proform P&amp;L (2)"/>
      <sheetName val="Print version"/>
      <sheetName val="P&amp;L Detail"/>
      <sheetName val="Proform P&amp;L"/>
      <sheetName val="Adj Earn v1 "/>
      <sheetName val="Adj Earn test not used"/>
      <sheetName val="Adj Earn"/>
      <sheetName val="Present pro forma adjs"/>
      <sheetName val="Markets reconciliation Alt"/>
      <sheetName val="Markets reconciliation"/>
      <sheetName val="Markets reconciliation not used"/>
      <sheetName val="Normalization"/>
      <sheetName val="P&amp;L Map"/>
      <sheetName val="Proforma BalSh"/>
      <sheetName val="CGAAP P&amp;L Footnote"/>
      <sheetName val="BalSh Detail for 20F"/>
      <sheetName val="BalSh Map"/>
      <sheetName val="Interest expense"/>
      <sheetName val="Net assets acquired"/>
      <sheetName val="EPS"/>
      <sheetName val="USGAAP"/>
      <sheetName val="Def tax IIA"/>
      <sheetName val="FX rates"/>
      <sheetName val="Purch price table"/>
      <sheetName val="Reuters costs for 20F"/>
      <sheetName val="PPE summary"/>
      <sheetName val="Owned property"/>
      <sheetName val="3 Times Square &amp; leases"/>
      <sheetName val="Deferred revenue"/>
      <sheetName val="Supplemental disclosures"/>
      <sheetName val="Reuters share buy back"/>
      <sheetName val="break"/>
      <sheetName val="BalSh Detail for circulars"/>
      <sheetName val="IFRS CGAAP"/>
      <sheetName val="Reuters costs for circulars"/>
      <sheetName val="Amort and depr restate"/>
      <sheetName val="Update"/>
      <sheetName val="purch"/>
      <sheetName val="slice"/>
      <sheetName val="N10 IS by slice at 1-27-09 PM "/>
      <sheetName val="N10 IS by slice at 1-27-09 AM"/>
      <sheetName val="N10 IS by slice at 1-25-09"/>
      <sheetName val="TRGR component"/>
      <sheetName val="Final v Prelim"/>
      <sheetName val="Actual 9 mo"/>
      <sheetName val="Sept step"/>
      <sheetName val="June step"/>
      <sheetName val="corp detail"/>
      <sheetName val="new sept"/>
      <sheetName val="June from old env"/>
      <sheetName val="Support for underlying profit"/>
      <sheetName val="Segments Map by quarter"/>
      <sheetName val="CGAAP to IFRS Reconciliation"/>
      <sheetName val="EPS not u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5">
          <cell r="B65" t="str">
            <v>Markets pro forma results</v>
          </cell>
          <cell r="D65" t="str">
            <v>PAGE NOT USED.  JUST A REFERENCE HAD WE RECORDED THIS SCENARIO.</v>
          </cell>
          <cell r="Q65" t="str">
            <v>SCHEDULE 1</v>
          </cell>
        </row>
        <row r="66">
          <cell r="B66" t="str">
            <v>2007 - 2008, $ in millions</v>
          </cell>
          <cell r="D66">
            <v>2007</v>
          </cell>
          <cell r="E66">
            <v>2007</v>
          </cell>
          <cell r="F66">
            <v>2007</v>
          </cell>
          <cell r="G66">
            <v>2007</v>
          </cell>
          <cell r="H66">
            <v>2007</v>
          </cell>
          <cell r="J66">
            <v>2008</v>
          </cell>
          <cell r="K66" t="str">
            <v>Jan 1 to</v>
          </cell>
          <cell r="L66" t="str">
            <v>April 17 to</v>
          </cell>
          <cell r="M66">
            <v>2008</v>
          </cell>
          <cell r="N66">
            <v>2008</v>
          </cell>
          <cell r="O66">
            <v>2008</v>
          </cell>
          <cell r="P66">
            <v>2008</v>
          </cell>
          <cell r="Q66">
            <v>2008</v>
          </cell>
        </row>
        <row r="67">
          <cell r="B67" t="str">
            <v>EXCLUDES REVENUE PURCHASE ACCTG</v>
          </cell>
          <cell r="D67" t="str">
            <v>Q1</v>
          </cell>
          <cell r="E67" t="str">
            <v>Q2</v>
          </cell>
          <cell r="F67" t="str">
            <v>Q3</v>
          </cell>
          <cell r="G67" t="str">
            <v>Q4</v>
          </cell>
          <cell r="H67" t="str">
            <v>FY</v>
          </cell>
          <cell r="J67" t="str">
            <v>Q1</v>
          </cell>
          <cell r="K67">
            <v>39554</v>
          </cell>
          <cell r="L67">
            <v>39629</v>
          </cell>
          <cell r="M67" t="str">
            <v>6mths</v>
          </cell>
          <cell r="N67" t="str">
            <v>Q2</v>
          </cell>
          <cell r="O67" t="str">
            <v>Q3</v>
          </cell>
          <cell r="P67" t="str">
            <v>Q4</v>
          </cell>
          <cell r="Q67" t="str">
            <v>FY</v>
          </cell>
        </row>
        <row r="68">
          <cell r="C68" t="str">
            <v>Pro forma revenue</v>
          </cell>
          <cell r="D68">
            <v>1781</v>
          </cell>
          <cell r="E68">
            <v>1826</v>
          </cell>
          <cell r="F68">
            <v>1847</v>
          </cell>
          <cell r="G68">
            <v>1964</v>
          </cell>
          <cell r="H68">
            <v>7418</v>
          </cell>
          <cell r="J68">
            <v>1985</v>
          </cell>
          <cell r="M68">
            <v>4036</v>
          </cell>
          <cell r="N68">
            <v>2051</v>
          </cell>
          <cell r="O68">
            <v>1982</v>
          </cell>
          <cell r="Q68">
            <v>6018</v>
          </cell>
        </row>
        <row r="70">
          <cell r="C70" t="str">
            <v>Pro forma operating profit, as reported</v>
          </cell>
          <cell r="D70">
            <v>216</v>
          </cell>
          <cell r="E70">
            <v>286</v>
          </cell>
          <cell r="F70">
            <v>289</v>
          </cell>
          <cell r="G70">
            <v>346</v>
          </cell>
          <cell r="H70">
            <v>1137</v>
          </cell>
          <cell r="J70">
            <v>343</v>
          </cell>
          <cell r="M70">
            <v>715</v>
          </cell>
          <cell r="N70">
            <v>372</v>
          </cell>
          <cell r="O70">
            <v>346</v>
          </cell>
          <cell r="Q70">
            <v>1061</v>
          </cell>
        </row>
        <row r="71">
          <cell r="C71" t="str">
            <v>Normalization</v>
          </cell>
          <cell r="D71">
            <v>4</v>
          </cell>
          <cell r="E71">
            <v>3</v>
          </cell>
          <cell r="F71">
            <v>5</v>
          </cell>
          <cell r="G71">
            <v>5</v>
          </cell>
          <cell r="H71">
            <v>17</v>
          </cell>
          <cell r="J71">
            <v>5</v>
          </cell>
          <cell r="M71">
            <v>11</v>
          </cell>
          <cell r="N71">
            <v>6</v>
          </cell>
          <cell r="O71">
            <v>-2</v>
          </cell>
          <cell r="P71" t="str">
            <v>nm</v>
          </cell>
          <cell r="Q71">
            <v>9</v>
          </cell>
        </row>
        <row r="72">
          <cell r="C72" t="str">
            <v>Pro forma operating profit, normalized</v>
          </cell>
          <cell r="D72">
            <v>220</v>
          </cell>
          <cell r="E72">
            <v>289</v>
          </cell>
          <cell r="F72">
            <v>294</v>
          </cell>
          <cell r="G72">
            <v>351</v>
          </cell>
          <cell r="H72">
            <v>1154</v>
          </cell>
          <cell r="J72">
            <v>348</v>
          </cell>
          <cell r="M72">
            <v>726</v>
          </cell>
          <cell r="N72">
            <v>378</v>
          </cell>
          <cell r="O72">
            <v>344</v>
          </cell>
          <cell r="P72" t="str">
            <v>nm</v>
          </cell>
          <cell r="Q72">
            <v>1070</v>
          </cell>
        </row>
        <row r="73">
          <cell r="C73" t="str">
            <v>Operating profit margin %, as reported</v>
          </cell>
          <cell r="D73">
            <v>0.12128017967434025</v>
          </cell>
          <cell r="E73">
            <v>0.15662650602409639</v>
          </cell>
          <cell r="F73">
            <v>0.15646995127233351</v>
          </cell>
          <cell r="G73">
            <v>0.17617107942973523</v>
          </cell>
          <cell r="H73">
            <v>0.15327581558371528</v>
          </cell>
          <cell r="J73">
            <v>0.17279596977329975</v>
          </cell>
          <cell r="M73">
            <v>0.17715559960356789</v>
          </cell>
          <cell r="N73">
            <v>0.18137493905411994</v>
          </cell>
          <cell r="O73">
            <v>0.17457114026236126</v>
          </cell>
          <cell r="Q73">
            <v>0.176304420073114</v>
          </cell>
        </row>
        <row r="74">
          <cell r="C74" t="str">
            <v>Operating profit margin %, normalized</v>
          </cell>
          <cell r="D74">
            <v>0.12352610892756878</v>
          </cell>
          <cell r="E74">
            <v>0.15826944140197152</v>
          </cell>
          <cell r="F74">
            <v>0.15917704385489984</v>
          </cell>
          <cell r="G74">
            <v>0.17871690427698575</v>
          </cell>
          <cell r="H74">
            <v>0.15556753842005933</v>
          </cell>
          <cell r="J74">
            <v>0.17531486146095718</v>
          </cell>
          <cell r="M74">
            <v>0.1798810703666997</v>
          </cell>
          <cell r="N74">
            <v>0.18430034129692832</v>
          </cell>
          <cell r="O74">
            <v>0.17356205852674067</v>
          </cell>
          <cell r="Q74">
            <v>0.17779993353273513</v>
          </cell>
        </row>
        <row r="75">
          <cell r="C75" t="str">
            <v>Growth, as reported</v>
          </cell>
          <cell r="J75">
            <v>0.58796296296296302</v>
          </cell>
          <cell r="N75">
            <v>0.30069930069930062</v>
          </cell>
          <cell r="O75">
            <v>0.19723183391003452</v>
          </cell>
          <cell r="Q75">
            <v>0.34134007585335024</v>
          </cell>
        </row>
        <row r="76">
          <cell r="C76" t="str">
            <v>Growth, normalized</v>
          </cell>
          <cell r="J76">
            <v>0.58181818181818179</v>
          </cell>
          <cell r="N76">
            <v>0.30795847750865057</v>
          </cell>
          <cell r="O76">
            <v>0.17006802721088432</v>
          </cell>
          <cell r="Q76">
            <v>0.33250311332503113</v>
          </cell>
        </row>
        <row r="78">
          <cell r="C78" t="str">
            <v>Pro forma depreciation expense, as reported</v>
          </cell>
          <cell r="D78">
            <v>-157</v>
          </cell>
          <cell r="E78">
            <v>-155</v>
          </cell>
          <cell r="F78">
            <v>-165</v>
          </cell>
          <cell r="G78">
            <v>-149</v>
          </cell>
          <cell r="H78">
            <v>-626</v>
          </cell>
          <cell r="J78">
            <v>-155</v>
          </cell>
          <cell r="M78">
            <v>-305</v>
          </cell>
          <cell r="N78">
            <v>-150</v>
          </cell>
          <cell r="O78">
            <v>-155</v>
          </cell>
          <cell r="Q78">
            <v>-460</v>
          </cell>
        </row>
        <row r="79">
          <cell r="C79" t="str">
            <v>Normalization - Software depreciation</v>
          </cell>
          <cell r="D79">
            <v>-21</v>
          </cell>
          <cell r="E79">
            <v>-21</v>
          </cell>
          <cell r="F79">
            <v>-21</v>
          </cell>
          <cell r="G79">
            <v>-21</v>
          </cell>
          <cell r="H79">
            <v>-84</v>
          </cell>
          <cell r="J79">
            <v>-21</v>
          </cell>
          <cell r="M79">
            <v>-43</v>
          </cell>
          <cell r="N79">
            <v>-22</v>
          </cell>
          <cell r="O79">
            <v>-19</v>
          </cell>
          <cell r="P79" t="str">
            <v>nm</v>
          </cell>
          <cell r="Q79">
            <v>-62</v>
          </cell>
        </row>
        <row r="80">
          <cell r="C80" t="str">
            <v>Normalization - Fixed assets depreciation</v>
          </cell>
          <cell r="D80">
            <v>-8</v>
          </cell>
          <cell r="E80">
            <v>-8</v>
          </cell>
          <cell r="F80">
            <v>-9</v>
          </cell>
          <cell r="G80">
            <v>-8</v>
          </cell>
          <cell r="H80">
            <v>-33</v>
          </cell>
          <cell r="J80">
            <v>-8</v>
          </cell>
          <cell r="M80">
            <v>-15</v>
          </cell>
          <cell r="N80">
            <v>-7</v>
          </cell>
          <cell r="O80">
            <v>-10</v>
          </cell>
          <cell r="P80" t="str">
            <v>nm</v>
          </cell>
          <cell r="Q80">
            <v>-25</v>
          </cell>
        </row>
        <row r="81">
          <cell r="C81" t="str">
            <v>Normalization - Total deprecation</v>
          </cell>
          <cell r="D81">
            <v>-29</v>
          </cell>
          <cell r="E81">
            <v>-29</v>
          </cell>
          <cell r="F81">
            <v>-30</v>
          </cell>
          <cell r="G81">
            <v>-29</v>
          </cell>
          <cell r="H81">
            <v>-117</v>
          </cell>
          <cell r="J81">
            <v>-29</v>
          </cell>
          <cell r="M81">
            <v>-58</v>
          </cell>
          <cell r="N81">
            <v>-29</v>
          </cell>
          <cell r="O81">
            <v>-29</v>
          </cell>
          <cell r="P81" t="str">
            <v>nm</v>
          </cell>
          <cell r="Q81">
            <v>-87</v>
          </cell>
        </row>
        <row r="82">
          <cell r="C82" t="str">
            <v>Pro forma depreciation expense, normalized</v>
          </cell>
          <cell r="D82">
            <v>-186</v>
          </cell>
          <cell r="E82">
            <v>-184</v>
          </cell>
          <cell r="F82">
            <v>-195</v>
          </cell>
          <cell r="G82">
            <v>-178</v>
          </cell>
          <cell r="H82">
            <v>-743</v>
          </cell>
          <cell r="J82">
            <v>-184</v>
          </cell>
          <cell r="M82">
            <v>-363</v>
          </cell>
          <cell r="N82">
            <v>-179</v>
          </cell>
          <cell r="O82">
            <v>-184</v>
          </cell>
          <cell r="P82" t="str">
            <v>nm</v>
          </cell>
          <cell r="Q82">
            <v>-547</v>
          </cell>
        </row>
        <row r="83">
          <cell r="H83">
            <v>0</v>
          </cell>
          <cell r="Q83">
            <v>0</v>
          </cell>
        </row>
        <row r="84">
          <cell r="C84" t="str">
            <v>Pro forma EBITDA, as reported</v>
          </cell>
          <cell r="D84">
            <v>373</v>
          </cell>
          <cell r="E84">
            <v>441</v>
          </cell>
          <cell r="F84">
            <v>454</v>
          </cell>
          <cell r="G84">
            <v>495</v>
          </cell>
          <cell r="H84">
            <v>1763</v>
          </cell>
          <cell r="J84">
            <v>498</v>
          </cell>
          <cell r="M84">
            <v>1020</v>
          </cell>
          <cell r="N84">
            <v>522</v>
          </cell>
          <cell r="O84">
            <v>501</v>
          </cell>
          <cell r="Q84">
            <v>1521</v>
          </cell>
        </row>
        <row r="85">
          <cell r="C85" t="str">
            <v>Normalization</v>
          </cell>
          <cell r="D85">
            <v>33</v>
          </cell>
          <cell r="E85">
            <v>32</v>
          </cell>
          <cell r="F85">
            <v>35</v>
          </cell>
          <cell r="G85">
            <v>34</v>
          </cell>
          <cell r="H85">
            <v>134</v>
          </cell>
          <cell r="J85">
            <v>34</v>
          </cell>
          <cell r="M85">
            <v>69</v>
          </cell>
          <cell r="N85">
            <v>35</v>
          </cell>
          <cell r="O85">
            <v>27</v>
          </cell>
          <cell r="P85" t="str">
            <v>nm</v>
          </cell>
          <cell r="Q85">
            <v>96</v>
          </cell>
        </row>
        <row r="86">
          <cell r="C86" t="str">
            <v>Pro forma EBITDA, normalized</v>
          </cell>
          <cell r="D86">
            <v>406</v>
          </cell>
          <cell r="E86">
            <v>473</v>
          </cell>
          <cell r="F86">
            <v>489</v>
          </cell>
          <cell r="G86">
            <v>529</v>
          </cell>
          <cell r="H86">
            <v>1897</v>
          </cell>
          <cell r="J86">
            <v>532</v>
          </cell>
          <cell r="M86">
            <v>1089</v>
          </cell>
          <cell r="N86">
            <v>557</v>
          </cell>
          <cell r="O86">
            <v>528</v>
          </cell>
          <cell r="P86" t="str">
            <v>nm</v>
          </cell>
          <cell r="Q86">
            <v>1617</v>
          </cell>
        </row>
        <row r="87">
          <cell r="C87" t="str">
            <v>EBITDA margin %, as reported</v>
          </cell>
          <cell r="D87">
            <v>0.20943290286355981</v>
          </cell>
          <cell r="E87">
            <v>0.24151150054764511</v>
          </cell>
          <cell r="F87">
            <v>0.24580400649702219</v>
          </cell>
          <cell r="G87">
            <v>0.25203665987780038</v>
          </cell>
          <cell r="H87">
            <v>0.23766513885144244</v>
          </cell>
          <cell r="J87">
            <v>0.25088161209068011</v>
          </cell>
          <cell r="M87">
            <v>0.25272547076313179</v>
          </cell>
          <cell r="N87">
            <v>0.25450999512432959</v>
          </cell>
          <cell r="O87">
            <v>0.25277497477295663</v>
          </cell>
          <cell r="Q87">
            <v>0.25274177467597209</v>
          </cell>
        </row>
        <row r="88">
          <cell r="C88" t="str">
            <v>EBITDA margin %, normalized</v>
          </cell>
          <cell r="D88">
            <v>0.22796181920269512</v>
          </cell>
          <cell r="E88">
            <v>0.25903614457831325</v>
          </cell>
          <cell r="F88">
            <v>0.26475365457498645</v>
          </cell>
          <cell r="G88">
            <v>0.26934826883910384</v>
          </cell>
          <cell r="H88">
            <v>0.25572930709086006</v>
          </cell>
          <cell r="J88">
            <v>0.26801007556675061</v>
          </cell>
          <cell r="M88">
            <v>0.26982160555004958</v>
          </cell>
          <cell r="N88">
            <v>0.27157484154071188</v>
          </cell>
          <cell r="O88">
            <v>0.26639757820383453</v>
          </cell>
          <cell r="Q88">
            <v>0.26869391824526423</v>
          </cell>
        </row>
        <row r="89">
          <cell r="C89" t="str">
            <v>Growth, as reported</v>
          </cell>
          <cell r="H89">
            <v>0</v>
          </cell>
          <cell r="J89">
            <v>0.33512064343163539</v>
          </cell>
          <cell r="N89">
            <v>0.18367346938775508</v>
          </cell>
          <cell r="O89">
            <v>0.1035242290748899</v>
          </cell>
          <cell r="Q89">
            <v>0.19952681388012627</v>
          </cell>
        </row>
        <row r="90">
          <cell r="C90" t="str">
            <v>Growth, normalized</v>
          </cell>
          <cell r="J90">
            <v>0.31034482758620685</v>
          </cell>
          <cell r="N90">
            <v>0.17758985200845667</v>
          </cell>
          <cell r="O90">
            <v>7.9754601226993849E-2</v>
          </cell>
          <cell r="Q90">
            <v>0.18201754385964919</v>
          </cell>
        </row>
        <row r="91">
          <cell r="Q91">
            <v>0</v>
          </cell>
        </row>
        <row r="93">
          <cell r="Q93" t="str">
            <v>SCHEDULE 2</v>
          </cell>
        </row>
        <row r="94">
          <cell r="B94" t="str">
            <v>Markets pro forma results normalization reconciliation</v>
          </cell>
        </row>
        <row r="95">
          <cell r="B95" t="str">
            <v>2007 - 2008, $ in millions</v>
          </cell>
          <cell r="D95">
            <v>2007</v>
          </cell>
          <cell r="E95">
            <v>2007</v>
          </cell>
          <cell r="F95">
            <v>2007</v>
          </cell>
          <cell r="G95">
            <v>2007</v>
          </cell>
          <cell r="H95">
            <v>2007</v>
          </cell>
          <cell r="J95">
            <v>2008</v>
          </cell>
          <cell r="K95" t="str">
            <v>Jan 1 to</v>
          </cell>
          <cell r="L95" t="str">
            <v>April 17 to</v>
          </cell>
          <cell r="M95">
            <v>2008</v>
          </cell>
          <cell r="N95">
            <v>2008</v>
          </cell>
          <cell r="O95">
            <v>2008</v>
          </cell>
          <cell r="P95">
            <v>2008</v>
          </cell>
          <cell r="Q95">
            <v>2008</v>
          </cell>
        </row>
        <row r="96">
          <cell r="B96" t="str">
            <v>Income/(Expense)</v>
          </cell>
          <cell r="D96" t="str">
            <v>Q1</v>
          </cell>
          <cell r="E96" t="str">
            <v>Q2</v>
          </cell>
          <cell r="F96" t="str">
            <v>Q3</v>
          </cell>
          <cell r="G96" t="str">
            <v>Q4</v>
          </cell>
          <cell r="H96" t="str">
            <v>FY</v>
          </cell>
          <cell r="J96" t="str">
            <v>Q1</v>
          </cell>
          <cell r="K96">
            <v>39554</v>
          </cell>
          <cell r="L96">
            <v>39629</v>
          </cell>
          <cell r="M96" t="str">
            <v>6mths</v>
          </cell>
          <cell r="N96" t="str">
            <v>Q2</v>
          </cell>
          <cell r="O96" t="str">
            <v>Q3</v>
          </cell>
          <cell r="P96" t="str">
            <v>Q4</v>
          </cell>
          <cell r="Q96" t="str">
            <v>FY</v>
          </cell>
        </row>
        <row r="98">
          <cell r="B98" t="str">
            <v>AS REPORTED (Used PRELIMINARY VALUATION ESTIMATES)</v>
          </cell>
        </row>
        <row r="99">
          <cell r="B99" t="str">
            <v>Expenses reported, except software</v>
          </cell>
        </row>
        <row r="100">
          <cell r="C100" t="str">
            <v>Leases (includes ARO)</v>
          </cell>
          <cell r="D100">
            <v>-8</v>
          </cell>
          <cell r="E100">
            <v>-7</v>
          </cell>
          <cell r="F100">
            <v>-8</v>
          </cell>
          <cell r="G100">
            <v>-7</v>
          </cell>
          <cell r="H100">
            <v>-30</v>
          </cell>
          <cell r="J100">
            <v>-8</v>
          </cell>
          <cell r="K100">
            <v>-9</v>
          </cell>
          <cell r="L100">
            <v>-7</v>
          </cell>
          <cell r="M100">
            <v>-16</v>
          </cell>
          <cell r="N100">
            <v>-8</v>
          </cell>
          <cell r="O100">
            <v>-1</v>
          </cell>
          <cell r="P100">
            <v>0</v>
          </cell>
          <cell r="Q100">
            <v>-17</v>
          </cell>
        </row>
        <row r="101">
          <cell r="C101" t="str">
            <v>One time deferred lease inducement write off</v>
          </cell>
          <cell r="O101">
            <v>-3</v>
          </cell>
          <cell r="Q101">
            <v>-3</v>
          </cell>
        </row>
        <row r="102">
          <cell r="B102" t="str">
            <v>Depr</v>
          </cell>
          <cell r="C102" t="str">
            <v>Fixed assets</v>
          </cell>
          <cell r="D102">
            <v>-2</v>
          </cell>
          <cell r="E102">
            <v>-2</v>
          </cell>
          <cell r="F102">
            <v>-1</v>
          </cell>
          <cell r="G102">
            <v>-2</v>
          </cell>
          <cell r="H102">
            <v>-7</v>
          </cell>
          <cell r="J102">
            <v>-2</v>
          </cell>
          <cell r="K102">
            <v>-2</v>
          </cell>
          <cell r="L102">
            <v>-3</v>
          </cell>
          <cell r="M102">
            <v>-5</v>
          </cell>
          <cell r="N102">
            <v>-3</v>
          </cell>
          <cell r="O102">
            <v>0</v>
          </cell>
          <cell r="P102">
            <v>0</v>
          </cell>
          <cell r="Q102">
            <v>-5</v>
          </cell>
        </row>
        <row r="103">
          <cell r="C103" t="str">
            <v>Fujitsu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1</v>
          </cell>
          <cell r="O103">
            <v>2</v>
          </cell>
          <cell r="P103">
            <v>0</v>
          </cell>
          <cell r="Q103">
            <v>3</v>
          </cell>
        </row>
        <row r="104">
          <cell r="C104" t="str">
            <v>Contracts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C105" t="str">
            <v>Contracts addl adj</v>
          </cell>
        </row>
        <row r="106">
          <cell r="C106" t="str">
            <v>ARO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 t="str">
            <v>A</v>
          </cell>
          <cell r="C107" t="str">
            <v>Subtotal</v>
          </cell>
          <cell r="D107">
            <v>-10</v>
          </cell>
          <cell r="E107">
            <v>-9</v>
          </cell>
          <cell r="F107">
            <v>-9</v>
          </cell>
          <cell r="G107">
            <v>-9</v>
          </cell>
          <cell r="H107">
            <v>-37</v>
          </cell>
          <cell r="J107">
            <v>-10</v>
          </cell>
          <cell r="K107">
            <v>-11</v>
          </cell>
          <cell r="L107">
            <v>-9</v>
          </cell>
          <cell r="M107">
            <v>-20</v>
          </cell>
          <cell r="N107">
            <v>-10</v>
          </cell>
          <cell r="O107">
            <v>-2</v>
          </cell>
          <cell r="P107">
            <v>0</v>
          </cell>
          <cell r="Q107">
            <v>-22</v>
          </cell>
        </row>
        <row r="108">
          <cell r="H108">
            <v>0</v>
          </cell>
          <cell r="Q108">
            <v>0</v>
          </cell>
        </row>
        <row r="109">
          <cell r="B109" t="str">
            <v>Software reported</v>
          </cell>
        </row>
        <row r="110">
          <cell r="C110" t="str">
            <v>Fair Value Adjustment Developed Tech - COS</v>
          </cell>
          <cell r="D110">
            <v>-6</v>
          </cell>
          <cell r="E110">
            <v>-6</v>
          </cell>
          <cell r="F110">
            <v>-10</v>
          </cell>
          <cell r="G110">
            <v>-5</v>
          </cell>
          <cell r="H110">
            <v>-27</v>
          </cell>
          <cell r="J110">
            <v>-6</v>
          </cell>
          <cell r="K110">
            <v>6</v>
          </cell>
          <cell r="L110">
            <v>-10</v>
          </cell>
          <cell r="M110">
            <v>-4</v>
          </cell>
          <cell r="N110">
            <v>2</v>
          </cell>
          <cell r="O110">
            <v>-14</v>
          </cell>
          <cell r="P110">
            <v>0</v>
          </cell>
          <cell r="Q110">
            <v>-18</v>
          </cell>
        </row>
        <row r="111">
          <cell r="B111" t="str">
            <v>Depr</v>
          </cell>
          <cell r="C111" t="str">
            <v>Fair Value Adjustment Developed Tech - Depreciation</v>
          </cell>
          <cell r="D111">
            <v>-12</v>
          </cell>
          <cell r="E111">
            <v>-12</v>
          </cell>
          <cell r="F111">
            <v>-18</v>
          </cell>
          <cell r="G111">
            <v>-8</v>
          </cell>
          <cell r="H111">
            <v>-50</v>
          </cell>
          <cell r="J111">
            <v>-12</v>
          </cell>
          <cell r="K111">
            <v>-11</v>
          </cell>
          <cell r="L111">
            <v>9</v>
          </cell>
          <cell r="M111">
            <v>-2</v>
          </cell>
          <cell r="N111">
            <v>10</v>
          </cell>
          <cell r="O111">
            <v>6</v>
          </cell>
          <cell r="P111">
            <v>0</v>
          </cell>
          <cell r="Q111">
            <v>4</v>
          </cell>
        </row>
        <row r="112">
          <cell r="A112" t="str">
            <v>B</v>
          </cell>
          <cell r="C112" t="str">
            <v>Subtotal</v>
          </cell>
          <cell r="D112">
            <v>-18</v>
          </cell>
          <cell r="E112">
            <v>-18</v>
          </cell>
          <cell r="F112">
            <v>-28</v>
          </cell>
          <cell r="G112">
            <v>-13</v>
          </cell>
          <cell r="H112">
            <v>-77</v>
          </cell>
          <cell r="J112">
            <v>-18</v>
          </cell>
          <cell r="K112">
            <v>-5</v>
          </cell>
          <cell r="L112">
            <v>-1</v>
          </cell>
          <cell r="M112">
            <v>-6</v>
          </cell>
          <cell r="N112">
            <v>12</v>
          </cell>
          <cell r="O112">
            <v>-8</v>
          </cell>
          <cell r="P112">
            <v>0</v>
          </cell>
          <cell r="Q112">
            <v>-14</v>
          </cell>
        </row>
        <row r="113">
          <cell r="H113">
            <v>0</v>
          </cell>
        </row>
        <row r="114">
          <cell r="A114" t="str">
            <v>C = A + B</v>
          </cell>
          <cell r="B114" t="str">
            <v>Total Purchase Accounting, As Reported</v>
          </cell>
          <cell r="D114">
            <v>-28</v>
          </cell>
          <cell r="E114">
            <v>-27</v>
          </cell>
          <cell r="F114">
            <v>-37</v>
          </cell>
          <cell r="G114">
            <v>-22</v>
          </cell>
          <cell r="H114">
            <v>-114</v>
          </cell>
          <cell r="J114">
            <v>-28</v>
          </cell>
          <cell r="K114">
            <v>-16</v>
          </cell>
          <cell r="L114">
            <v>-10</v>
          </cell>
          <cell r="M114">
            <v>-26</v>
          </cell>
          <cell r="N114">
            <v>2</v>
          </cell>
          <cell r="O114">
            <v>-10</v>
          </cell>
          <cell r="P114">
            <v>0</v>
          </cell>
          <cell r="Q114">
            <v>-36</v>
          </cell>
        </row>
        <row r="115">
          <cell r="M115">
            <v>0</v>
          </cell>
          <cell r="N115">
            <v>0</v>
          </cell>
          <cell r="Q115">
            <v>0</v>
          </cell>
        </row>
        <row r="116">
          <cell r="B116" t="str">
            <v>NORMALIZED - (Used FINAL VALUATION)</v>
          </cell>
        </row>
        <row r="117">
          <cell r="B117" t="str">
            <v>Expenses normalized, except software</v>
          </cell>
        </row>
        <row r="118">
          <cell r="C118" t="str">
            <v>Leases (includes ARO)</v>
          </cell>
          <cell r="D118">
            <v>-4</v>
          </cell>
          <cell r="E118">
            <v>-4</v>
          </cell>
          <cell r="F118">
            <v>-3</v>
          </cell>
          <cell r="G118">
            <v>-4</v>
          </cell>
          <cell r="H118">
            <v>-15</v>
          </cell>
          <cell r="I118">
            <v>0</v>
          </cell>
          <cell r="J118">
            <v>-4</v>
          </cell>
          <cell r="K118">
            <v>-4</v>
          </cell>
          <cell r="L118">
            <v>-3</v>
          </cell>
          <cell r="M118">
            <v>-7</v>
          </cell>
          <cell r="N118">
            <v>-3</v>
          </cell>
          <cell r="O118">
            <v>-4</v>
          </cell>
          <cell r="P118">
            <v>-4</v>
          </cell>
          <cell r="Q118">
            <v>-15</v>
          </cell>
        </row>
        <row r="119">
          <cell r="C119" t="str">
            <v>One time deferred lease inducement write off</v>
          </cell>
          <cell r="O119">
            <v>-3</v>
          </cell>
          <cell r="P119">
            <v>0</v>
          </cell>
          <cell r="Q119">
            <v>-3</v>
          </cell>
        </row>
        <row r="120">
          <cell r="B120" t="str">
            <v>Depr</v>
          </cell>
          <cell r="C120" t="str">
            <v>Fixed assets</v>
          </cell>
          <cell r="D120">
            <v>-10</v>
          </cell>
          <cell r="E120">
            <v>-10</v>
          </cell>
          <cell r="F120">
            <v>-10</v>
          </cell>
          <cell r="G120">
            <v>-10</v>
          </cell>
          <cell r="H120">
            <v>-40</v>
          </cell>
          <cell r="I120">
            <v>0</v>
          </cell>
          <cell r="J120">
            <v>-10</v>
          </cell>
          <cell r="K120">
            <v>-12</v>
          </cell>
          <cell r="L120">
            <v>-8</v>
          </cell>
          <cell r="M120">
            <v>-20</v>
          </cell>
          <cell r="N120">
            <v>-10</v>
          </cell>
          <cell r="O120">
            <v>-10</v>
          </cell>
          <cell r="P120">
            <v>-10</v>
          </cell>
          <cell r="Q120">
            <v>-40</v>
          </cell>
        </row>
        <row r="121">
          <cell r="C121" t="str">
            <v>Fujitsu</v>
          </cell>
          <cell r="D121">
            <v>0</v>
          </cell>
          <cell r="E121">
            <v>0</v>
          </cell>
          <cell r="F121">
            <v>0</v>
          </cell>
          <cell r="G121">
            <v>2</v>
          </cell>
          <cell r="H121">
            <v>2</v>
          </cell>
          <cell r="I121">
            <v>0</v>
          </cell>
          <cell r="J121">
            <v>2</v>
          </cell>
          <cell r="K121">
            <v>2</v>
          </cell>
          <cell r="L121">
            <v>1</v>
          </cell>
          <cell r="M121">
            <v>3</v>
          </cell>
          <cell r="N121">
            <v>1</v>
          </cell>
          <cell r="O121">
            <v>2</v>
          </cell>
          <cell r="P121">
            <v>1</v>
          </cell>
          <cell r="Q121">
            <v>6</v>
          </cell>
        </row>
        <row r="122">
          <cell r="C122" t="str">
            <v>Contracts</v>
          </cell>
          <cell r="D122">
            <v>20</v>
          </cell>
          <cell r="E122">
            <v>19</v>
          </cell>
          <cell r="F122">
            <v>20</v>
          </cell>
          <cell r="G122">
            <v>19</v>
          </cell>
          <cell r="H122">
            <v>78</v>
          </cell>
          <cell r="I122">
            <v>0</v>
          </cell>
          <cell r="J122">
            <v>19</v>
          </cell>
          <cell r="K122">
            <v>23</v>
          </cell>
          <cell r="L122">
            <v>16</v>
          </cell>
          <cell r="M122">
            <v>39</v>
          </cell>
          <cell r="N122">
            <v>20</v>
          </cell>
          <cell r="O122">
            <v>20</v>
          </cell>
          <cell r="P122">
            <v>19</v>
          </cell>
          <cell r="Q122">
            <v>78</v>
          </cell>
        </row>
        <row r="123">
          <cell r="C123" t="str">
            <v>Contracts addl adj</v>
          </cell>
          <cell r="D123">
            <v>-5</v>
          </cell>
          <cell r="E123">
            <v>-5</v>
          </cell>
          <cell r="F123">
            <v>-5</v>
          </cell>
          <cell r="G123">
            <v>-5</v>
          </cell>
          <cell r="H123">
            <v>-20</v>
          </cell>
          <cell r="J123">
            <v>-5</v>
          </cell>
          <cell r="K123">
            <v>-6</v>
          </cell>
          <cell r="L123">
            <v>-4</v>
          </cell>
          <cell r="M123">
            <v>-10</v>
          </cell>
          <cell r="N123">
            <v>-5</v>
          </cell>
          <cell r="O123">
            <v>-10</v>
          </cell>
          <cell r="Q123">
            <v>-20</v>
          </cell>
        </row>
        <row r="124">
          <cell r="C124" t="str">
            <v>ARO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</row>
        <row r="125">
          <cell r="A125" t="str">
            <v>D</v>
          </cell>
          <cell r="C125" t="str">
            <v>Subtotal</v>
          </cell>
          <cell r="D125">
            <v>1</v>
          </cell>
          <cell r="E125">
            <v>0</v>
          </cell>
          <cell r="F125">
            <v>2</v>
          </cell>
          <cell r="G125">
            <v>2</v>
          </cell>
          <cell r="H125">
            <v>5</v>
          </cell>
          <cell r="J125">
            <v>2</v>
          </cell>
          <cell r="K125">
            <v>3</v>
          </cell>
          <cell r="L125">
            <v>2</v>
          </cell>
          <cell r="M125">
            <v>5</v>
          </cell>
          <cell r="N125">
            <v>3</v>
          </cell>
          <cell r="O125">
            <v>-5</v>
          </cell>
          <cell r="P125">
            <v>6</v>
          </cell>
          <cell r="Q125">
            <v>6</v>
          </cell>
        </row>
        <row r="126">
          <cell r="H126">
            <v>0</v>
          </cell>
        </row>
        <row r="127">
          <cell r="B127" t="str">
            <v>Software normalized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C128" t="str">
            <v>Fair Value Adjustment Developed Tech - COS</v>
          </cell>
          <cell r="D128">
            <v>3</v>
          </cell>
          <cell r="E128">
            <v>4</v>
          </cell>
          <cell r="F128">
            <v>0</v>
          </cell>
          <cell r="G128">
            <v>5</v>
          </cell>
          <cell r="H128">
            <v>12</v>
          </cell>
          <cell r="J128">
            <v>3</v>
          </cell>
          <cell r="K128">
            <v>17</v>
          </cell>
          <cell r="L128">
            <v>-2</v>
          </cell>
          <cell r="M128">
            <v>15</v>
          </cell>
          <cell r="N128">
            <v>12</v>
          </cell>
          <cell r="O128">
            <v>-4</v>
          </cell>
          <cell r="P128">
            <v>-4</v>
          </cell>
          <cell r="Q128">
            <v>7</v>
          </cell>
        </row>
        <row r="129">
          <cell r="B129" t="str">
            <v>Depr</v>
          </cell>
          <cell r="C129" t="str">
            <v>Fair Value Adjustment Developed Tech - Depreciation</v>
          </cell>
          <cell r="D129">
            <v>-33</v>
          </cell>
          <cell r="E129">
            <v>-33</v>
          </cell>
          <cell r="F129">
            <v>-39</v>
          </cell>
          <cell r="G129">
            <v>-29</v>
          </cell>
          <cell r="H129">
            <v>-134</v>
          </cell>
          <cell r="J129">
            <v>-33</v>
          </cell>
          <cell r="K129">
            <v>-35</v>
          </cell>
          <cell r="L129">
            <v>-10</v>
          </cell>
          <cell r="M129">
            <v>-45</v>
          </cell>
          <cell r="N129">
            <v>-12</v>
          </cell>
          <cell r="O129">
            <v>-13</v>
          </cell>
          <cell r="P129">
            <v>-14</v>
          </cell>
          <cell r="Q129">
            <v>-72</v>
          </cell>
        </row>
        <row r="130">
          <cell r="A130" t="str">
            <v>E</v>
          </cell>
          <cell r="C130" t="str">
            <v>Subtotal</v>
          </cell>
          <cell r="D130">
            <v>-30</v>
          </cell>
          <cell r="E130">
            <v>-29</v>
          </cell>
          <cell r="F130">
            <v>-39</v>
          </cell>
          <cell r="G130">
            <v>-24</v>
          </cell>
          <cell r="H130">
            <v>-122</v>
          </cell>
          <cell r="J130">
            <v>-30</v>
          </cell>
          <cell r="K130">
            <v>-18</v>
          </cell>
          <cell r="L130">
            <v>-12</v>
          </cell>
          <cell r="M130">
            <v>-30</v>
          </cell>
          <cell r="N130">
            <v>0</v>
          </cell>
          <cell r="O130">
            <v>-17</v>
          </cell>
          <cell r="P130">
            <v>-18</v>
          </cell>
          <cell r="Q130">
            <v>-65</v>
          </cell>
        </row>
        <row r="131">
          <cell r="H131">
            <v>0</v>
          </cell>
        </row>
        <row r="132">
          <cell r="A132" t="str">
            <v>F = D + E</v>
          </cell>
          <cell r="B132" t="str">
            <v>Total Purchase Accounting, Normalized</v>
          </cell>
          <cell r="D132">
            <v>-29</v>
          </cell>
          <cell r="E132">
            <v>-29</v>
          </cell>
          <cell r="F132">
            <v>-37</v>
          </cell>
          <cell r="G132">
            <v>-22</v>
          </cell>
          <cell r="H132">
            <v>-117</v>
          </cell>
          <cell r="J132">
            <v>-28</v>
          </cell>
          <cell r="K132">
            <v>-15</v>
          </cell>
          <cell r="L132">
            <v>-10</v>
          </cell>
          <cell r="M132">
            <v>-25</v>
          </cell>
          <cell r="N132">
            <v>3</v>
          </cell>
          <cell r="O132">
            <v>-22</v>
          </cell>
          <cell r="P132">
            <v>-12</v>
          </cell>
          <cell r="Q132">
            <v>-59</v>
          </cell>
        </row>
        <row r="133">
          <cell r="M133">
            <v>0</v>
          </cell>
          <cell r="N133">
            <v>0</v>
          </cell>
          <cell r="Q133">
            <v>0</v>
          </cell>
        </row>
        <row r="134">
          <cell r="B134" t="str">
            <v>PURCHASE ACCOUNTING NORMALIZATION</v>
          </cell>
        </row>
        <row r="135">
          <cell r="B135" t="str">
            <v>Expense normalization, except software</v>
          </cell>
        </row>
        <row r="136">
          <cell r="C136" t="str">
            <v>Leases</v>
          </cell>
          <cell r="D136">
            <v>4</v>
          </cell>
          <cell r="E136">
            <v>3</v>
          </cell>
          <cell r="F136">
            <v>5</v>
          </cell>
          <cell r="G136">
            <v>3</v>
          </cell>
          <cell r="H136">
            <v>15</v>
          </cell>
          <cell r="J136">
            <v>4</v>
          </cell>
          <cell r="K136">
            <v>5</v>
          </cell>
          <cell r="L136">
            <v>4</v>
          </cell>
          <cell r="M136">
            <v>9</v>
          </cell>
          <cell r="N136">
            <v>5</v>
          </cell>
          <cell r="O136">
            <v>-3</v>
          </cell>
          <cell r="P136" t="str">
            <v>nm</v>
          </cell>
          <cell r="Q136">
            <v>6</v>
          </cell>
        </row>
        <row r="137">
          <cell r="C137" t="str">
            <v>One time deferred lease inducement write off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 t="str">
            <v>nm</v>
          </cell>
          <cell r="Q137">
            <v>0</v>
          </cell>
        </row>
        <row r="138">
          <cell r="B138" t="str">
            <v>Depr</v>
          </cell>
          <cell r="C138" t="str">
            <v>Fixed assets</v>
          </cell>
          <cell r="D138">
            <v>-8</v>
          </cell>
          <cell r="E138">
            <v>-8</v>
          </cell>
          <cell r="F138">
            <v>-9</v>
          </cell>
          <cell r="G138">
            <v>-8</v>
          </cell>
          <cell r="H138">
            <v>-33</v>
          </cell>
          <cell r="J138">
            <v>-8</v>
          </cell>
          <cell r="K138">
            <v>-10</v>
          </cell>
          <cell r="L138">
            <v>-5</v>
          </cell>
          <cell r="M138">
            <v>-15</v>
          </cell>
          <cell r="N138">
            <v>-7</v>
          </cell>
          <cell r="O138">
            <v>-10</v>
          </cell>
          <cell r="P138" t="str">
            <v>nm</v>
          </cell>
          <cell r="Q138">
            <v>-25</v>
          </cell>
        </row>
        <row r="139">
          <cell r="C139" t="str">
            <v>Fujitsu</v>
          </cell>
          <cell r="D139">
            <v>0</v>
          </cell>
          <cell r="E139">
            <v>0</v>
          </cell>
          <cell r="F139">
            <v>0</v>
          </cell>
          <cell r="G139">
            <v>2</v>
          </cell>
          <cell r="H139">
            <v>2</v>
          </cell>
          <cell r="J139">
            <v>2</v>
          </cell>
          <cell r="K139">
            <v>2</v>
          </cell>
          <cell r="L139">
            <v>0</v>
          </cell>
          <cell r="M139">
            <v>2</v>
          </cell>
          <cell r="N139">
            <v>0</v>
          </cell>
          <cell r="O139">
            <v>0</v>
          </cell>
          <cell r="P139" t="str">
            <v>nm</v>
          </cell>
          <cell r="Q139">
            <v>2</v>
          </cell>
        </row>
        <row r="140">
          <cell r="C140" t="str">
            <v>Contracts</v>
          </cell>
          <cell r="D140">
            <v>20</v>
          </cell>
          <cell r="E140">
            <v>19</v>
          </cell>
          <cell r="F140">
            <v>20</v>
          </cell>
          <cell r="G140">
            <v>19</v>
          </cell>
          <cell r="H140">
            <v>78</v>
          </cell>
          <cell r="J140">
            <v>19</v>
          </cell>
          <cell r="K140">
            <v>23</v>
          </cell>
          <cell r="L140">
            <v>16</v>
          </cell>
          <cell r="M140">
            <v>39</v>
          </cell>
          <cell r="N140">
            <v>20</v>
          </cell>
          <cell r="O140">
            <v>20</v>
          </cell>
          <cell r="P140" t="str">
            <v>nm</v>
          </cell>
          <cell r="Q140">
            <v>59</v>
          </cell>
        </row>
        <row r="141">
          <cell r="A141" t="str">
            <v>J</v>
          </cell>
          <cell r="C141" t="str">
            <v>Contracts addl adj</v>
          </cell>
          <cell r="D141">
            <v>-5</v>
          </cell>
          <cell r="E141">
            <v>-5</v>
          </cell>
          <cell r="F141">
            <v>-5</v>
          </cell>
          <cell r="G141">
            <v>-5</v>
          </cell>
          <cell r="H141">
            <v>-20</v>
          </cell>
          <cell r="J141">
            <v>-5</v>
          </cell>
          <cell r="K141">
            <v>-6</v>
          </cell>
          <cell r="L141">
            <v>-4</v>
          </cell>
          <cell r="M141">
            <v>-10</v>
          </cell>
          <cell r="N141">
            <v>-5</v>
          </cell>
          <cell r="O141">
            <v>-10</v>
          </cell>
          <cell r="P141" t="str">
            <v>nm</v>
          </cell>
          <cell r="Q141">
            <v>-20</v>
          </cell>
        </row>
        <row r="142">
          <cell r="C142" t="str">
            <v>ARO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 t="str">
            <v>nm</v>
          </cell>
          <cell r="Q142">
            <v>0</v>
          </cell>
        </row>
        <row r="143">
          <cell r="A143" t="str">
            <v>G = D - A</v>
          </cell>
          <cell r="C143" t="str">
            <v>Subtotal</v>
          </cell>
          <cell r="D143">
            <v>11</v>
          </cell>
          <cell r="E143">
            <v>9</v>
          </cell>
          <cell r="F143">
            <v>11</v>
          </cell>
          <cell r="G143">
            <v>11</v>
          </cell>
          <cell r="H143">
            <v>42</v>
          </cell>
          <cell r="J143">
            <v>12</v>
          </cell>
          <cell r="K143">
            <v>14</v>
          </cell>
          <cell r="L143">
            <v>11</v>
          </cell>
          <cell r="M143">
            <v>25</v>
          </cell>
          <cell r="N143">
            <v>13</v>
          </cell>
          <cell r="O143">
            <v>-3</v>
          </cell>
          <cell r="P143" t="str">
            <v>nm</v>
          </cell>
          <cell r="Q143">
            <v>22</v>
          </cell>
        </row>
        <row r="144">
          <cell r="H144">
            <v>0</v>
          </cell>
        </row>
        <row r="145">
          <cell r="B145" t="str">
            <v>Software normalization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</row>
        <row r="146">
          <cell r="C146" t="str">
            <v>Fair Value Adjustment Developed Tech - COS</v>
          </cell>
          <cell r="D146">
            <v>9</v>
          </cell>
          <cell r="E146">
            <v>10</v>
          </cell>
          <cell r="F146">
            <v>10</v>
          </cell>
          <cell r="G146">
            <v>10</v>
          </cell>
          <cell r="H146">
            <v>39</v>
          </cell>
          <cell r="J146">
            <v>9</v>
          </cell>
          <cell r="K146">
            <v>11</v>
          </cell>
          <cell r="L146">
            <v>8</v>
          </cell>
          <cell r="M146">
            <v>19</v>
          </cell>
          <cell r="N146">
            <v>10</v>
          </cell>
          <cell r="O146">
            <v>10</v>
          </cell>
          <cell r="P146" t="str">
            <v>nm</v>
          </cell>
          <cell r="Q146">
            <v>29</v>
          </cell>
        </row>
        <row r="147">
          <cell r="B147" t="str">
            <v>Depr</v>
          </cell>
          <cell r="C147" t="str">
            <v>Fair Value Adjustment Developed Tech - Depreciation</v>
          </cell>
          <cell r="D147">
            <v>-21</v>
          </cell>
          <cell r="E147">
            <v>-21</v>
          </cell>
          <cell r="F147">
            <v>-21</v>
          </cell>
          <cell r="G147">
            <v>-21</v>
          </cell>
          <cell r="H147">
            <v>-84</v>
          </cell>
          <cell r="J147">
            <v>-21</v>
          </cell>
          <cell r="K147">
            <v>-24</v>
          </cell>
          <cell r="L147">
            <v>-19</v>
          </cell>
          <cell r="M147">
            <v>-43</v>
          </cell>
          <cell r="N147">
            <v>-22</v>
          </cell>
          <cell r="O147">
            <v>-19</v>
          </cell>
          <cell r="P147" t="str">
            <v>nm</v>
          </cell>
          <cell r="Q147">
            <v>-62</v>
          </cell>
        </row>
        <row r="148">
          <cell r="A148" t="str">
            <v>H = E - B</v>
          </cell>
          <cell r="C148" t="str">
            <v>Subtotal</v>
          </cell>
          <cell r="D148">
            <v>-12</v>
          </cell>
          <cell r="E148">
            <v>-11</v>
          </cell>
          <cell r="F148">
            <v>-11</v>
          </cell>
          <cell r="G148">
            <v>-11</v>
          </cell>
          <cell r="H148">
            <v>-45</v>
          </cell>
          <cell r="J148">
            <v>-12</v>
          </cell>
          <cell r="K148">
            <v>-13</v>
          </cell>
          <cell r="L148">
            <v>-11</v>
          </cell>
          <cell r="M148">
            <v>-24</v>
          </cell>
          <cell r="N148">
            <v>-12</v>
          </cell>
          <cell r="O148">
            <v>-9</v>
          </cell>
          <cell r="P148" t="str">
            <v>nm</v>
          </cell>
          <cell r="Q148">
            <v>-33</v>
          </cell>
        </row>
        <row r="149">
          <cell r="H149">
            <v>0</v>
          </cell>
        </row>
        <row r="150">
          <cell r="A150" t="str">
            <v>I = G + H</v>
          </cell>
          <cell r="B150" t="str">
            <v>Total Purchase Accounting Normalization, with Contracts Addl adj</v>
          </cell>
          <cell r="D150">
            <v>-1</v>
          </cell>
          <cell r="E150">
            <v>-2</v>
          </cell>
          <cell r="F150">
            <v>0</v>
          </cell>
          <cell r="G150">
            <v>0</v>
          </cell>
          <cell r="H150">
            <v>-3</v>
          </cell>
          <cell r="J150">
            <v>0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-12</v>
          </cell>
          <cell r="P150" t="str">
            <v>nm</v>
          </cell>
          <cell r="Q150">
            <v>-11</v>
          </cell>
        </row>
        <row r="151">
          <cell r="A151" t="str">
            <v>K = I - J</v>
          </cell>
          <cell r="B151" t="str">
            <v>Total Purchase Accounting Normalization, presentational reclassification</v>
          </cell>
          <cell r="D151">
            <v>4</v>
          </cell>
          <cell r="E151">
            <v>3</v>
          </cell>
          <cell r="F151">
            <v>5</v>
          </cell>
          <cell r="G151">
            <v>5</v>
          </cell>
          <cell r="H151">
            <v>17</v>
          </cell>
          <cell r="J151">
            <v>5</v>
          </cell>
          <cell r="K151">
            <v>7</v>
          </cell>
          <cell r="L151">
            <v>4</v>
          </cell>
          <cell r="M151">
            <v>11</v>
          </cell>
          <cell r="N151">
            <v>6</v>
          </cell>
          <cell r="O151">
            <v>-2</v>
          </cell>
          <cell r="Q151">
            <v>9</v>
          </cell>
        </row>
        <row r="154">
          <cell r="Q154" t="str">
            <v>SCHEDULE 3</v>
          </cell>
        </row>
        <row r="156">
          <cell r="B156" t="str">
            <v>Software split between COS and Depreciation</v>
          </cell>
          <cell r="D156">
            <v>2007</v>
          </cell>
          <cell r="E156">
            <v>2007</v>
          </cell>
          <cell r="F156">
            <v>2007</v>
          </cell>
          <cell r="G156">
            <v>2007</v>
          </cell>
          <cell r="H156">
            <v>2007</v>
          </cell>
          <cell r="J156">
            <v>2008</v>
          </cell>
          <cell r="K156" t="str">
            <v>Jan 1 to</v>
          </cell>
          <cell r="L156" t="str">
            <v>April 17 to</v>
          </cell>
          <cell r="M156">
            <v>2008</v>
          </cell>
          <cell r="N156">
            <v>2008</v>
          </cell>
          <cell r="O156">
            <v>2008</v>
          </cell>
          <cell r="P156">
            <v>2008</v>
          </cell>
          <cell r="Q156">
            <v>2008</v>
          </cell>
        </row>
        <row r="157">
          <cell r="D157" t="str">
            <v>Q1</v>
          </cell>
          <cell r="E157" t="str">
            <v>Q2</v>
          </cell>
          <cell r="F157" t="str">
            <v>Q3</v>
          </cell>
          <cell r="G157" t="str">
            <v>Q4</v>
          </cell>
          <cell r="H157" t="str">
            <v>FY</v>
          </cell>
          <cell r="J157" t="str">
            <v>Q1</v>
          </cell>
          <cell r="K157">
            <v>39554</v>
          </cell>
          <cell r="L157">
            <v>39629</v>
          </cell>
          <cell r="M157" t="str">
            <v>6mths</v>
          </cell>
          <cell r="N157" t="str">
            <v>Q2</v>
          </cell>
          <cell r="O157" t="str">
            <v>Q3</v>
          </cell>
          <cell r="P157" t="str">
            <v>Q4</v>
          </cell>
          <cell r="Q157" t="str">
            <v>FY</v>
          </cell>
        </row>
        <row r="159">
          <cell r="B159" t="str">
            <v>Software - Total</v>
          </cell>
        </row>
        <row r="160">
          <cell r="B160" t="str">
            <v>Reported</v>
          </cell>
          <cell r="C160" t="str">
            <v>Fair value of $1,100 / SL 7 years</v>
          </cell>
        </row>
        <row r="161">
          <cell r="C161" t="str">
            <v>Book value</v>
          </cell>
          <cell r="D161">
            <v>-21</v>
          </cell>
          <cell r="E161">
            <v>-21</v>
          </cell>
          <cell r="F161">
            <v>-12</v>
          </cell>
          <cell r="G161">
            <v>-26</v>
          </cell>
          <cell r="H161">
            <v>-80</v>
          </cell>
          <cell r="J161">
            <v>-21</v>
          </cell>
          <cell r="K161">
            <v>-41</v>
          </cell>
          <cell r="L161">
            <v>-30</v>
          </cell>
          <cell r="M161">
            <v>-71</v>
          </cell>
          <cell r="N161">
            <v>-50</v>
          </cell>
          <cell r="O161">
            <v>-33</v>
          </cell>
          <cell r="P161">
            <v>0</v>
          </cell>
          <cell r="Q161">
            <v>-104</v>
          </cell>
        </row>
        <row r="162">
          <cell r="C162" t="str">
            <v>Incremental amortization</v>
          </cell>
          <cell r="D162">
            <v>-18</v>
          </cell>
          <cell r="E162">
            <v>-18</v>
          </cell>
          <cell r="F162">
            <v>-28</v>
          </cell>
          <cell r="G162">
            <v>-13</v>
          </cell>
          <cell r="H162">
            <v>-77</v>
          </cell>
          <cell r="J162">
            <v>-18</v>
          </cell>
          <cell r="K162">
            <v>-5</v>
          </cell>
          <cell r="L162">
            <v>-1</v>
          </cell>
          <cell r="M162">
            <v>-6</v>
          </cell>
          <cell r="N162">
            <v>12</v>
          </cell>
          <cell r="O162">
            <v>-8</v>
          </cell>
          <cell r="P162">
            <v>0</v>
          </cell>
          <cell r="Q162">
            <v>-14</v>
          </cell>
        </row>
        <row r="163">
          <cell r="C163" t="str">
            <v>Total</v>
          </cell>
          <cell r="D163">
            <v>-39</v>
          </cell>
          <cell r="E163">
            <v>-39</v>
          </cell>
          <cell r="F163">
            <v>-40</v>
          </cell>
          <cell r="G163">
            <v>-39</v>
          </cell>
          <cell r="H163">
            <v>-157</v>
          </cell>
          <cell r="I163">
            <v>1</v>
          </cell>
          <cell r="J163">
            <v>-39</v>
          </cell>
          <cell r="K163">
            <v>-46</v>
          </cell>
          <cell r="L163">
            <v>-31</v>
          </cell>
          <cell r="M163">
            <v>-77</v>
          </cell>
          <cell r="N163">
            <v>-38</v>
          </cell>
          <cell r="O163">
            <v>-41</v>
          </cell>
          <cell r="P163">
            <v>0</v>
          </cell>
          <cell r="Q163">
            <v>-118</v>
          </cell>
          <cell r="R163">
            <v>1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H165">
            <v>0</v>
          </cell>
          <cell r="Q165">
            <v>0</v>
          </cell>
        </row>
        <row r="166">
          <cell r="B166" t="str">
            <v>Final</v>
          </cell>
          <cell r="C166" t="str">
            <v>Fair value of $506 / various DDB &amp; SL years</v>
          </cell>
        </row>
        <row r="167">
          <cell r="C167" t="str">
            <v>Book value</v>
          </cell>
          <cell r="D167">
            <v>-21</v>
          </cell>
          <cell r="E167">
            <v>-21</v>
          </cell>
          <cell r="F167">
            <v>-12</v>
          </cell>
          <cell r="G167">
            <v>-26</v>
          </cell>
          <cell r="H167">
            <v>-80</v>
          </cell>
          <cell r="J167">
            <v>-21</v>
          </cell>
          <cell r="K167">
            <v>-41</v>
          </cell>
          <cell r="L167">
            <v>-30</v>
          </cell>
          <cell r="M167">
            <v>-71</v>
          </cell>
          <cell r="N167">
            <v>-50</v>
          </cell>
          <cell r="O167">
            <v>-33</v>
          </cell>
          <cell r="P167">
            <v>-33</v>
          </cell>
          <cell r="Q167">
            <v>-137</v>
          </cell>
        </row>
        <row r="168">
          <cell r="C168" t="str">
            <v>Incremental amortization</v>
          </cell>
          <cell r="D168">
            <v>-30</v>
          </cell>
          <cell r="E168">
            <v>-29</v>
          </cell>
          <cell r="F168">
            <v>-39</v>
          </cell>
          <cell r="G168">
            <v>-24</v>
          </cell>
          <cell r="H168">
            <v>-122</v>
          </cell>
          <cell r="J168">
            <v>-30</v>
          </cell>
          <cell r="K168">
            <v>-18</v>
          </cell>
          <cell r="L168">
            <v>-12</v>
          </cell>
          <cell r="M168">
            <v>-30</v>
          </cell>
          <cell r="N168">
            <v>0</v>
          </cell>
          <cell r="O168">
            <v>-17</v>
          </cell>
          <cell r="P168">
            <v>-18</v>
          </cell>
          <cell r="Q168">
            <v>-65</v>
          </cell>
        </row>
        <row r="169">
          <cell r="C169" t="str">
            <v>Total</v>
          </cell>
          <cell r="D169">
            <v>-51</v>
          </cell>
          <cell r="E169">
            <v>-50</v>
          </cell>
          <cell r="F169">
            <v>-51</v>
          </cell>
          <cell r="G169">
            <v>-50</v>
          </cell>
          <cell r="H169">
            <v>-202</v>
          </cell>
          <cell r="I169">
            <v>1</v>
          </cell>
          <cell r="J169">
            <v>-51</v>
          </cell>
          <cell r="K169">
            <v>-59</v>
          </cell>
          <cell r="L169">
            <v>-42</v>
          </cell>
          <cell r="M169">
            <v>-101</v>
          </cell>
          <cell r="N169">
            <v>-50</v>
          </cell>
          <cell r="O169">
            <v>-50</v>
          </cell>
          <cell r="P169">
            <v>-51</v>
          </cell>
          <cell r="Q169">
            <v>-202</v>
          </cell>
          <cell r="R169">
            <v>1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H171">
            <v>0</v>
          </cell>
          <cell r="Q171">
            <v>0</v>
          </cell>
        </row>
        <row r="172">
          <cell r="B172" t="str">
            <v>Difference</v>
          </cell>
          <cell r="C172" t="str">
            <v>Normalization adjustment</v>
          </cell>
          <cell r="D172">
            <v>-12</v>
          </cell>
          <cell r="E172">
            <v>-11</v>
          </cell>
          <cell r="F172">
            <v>-11</v>
          </cell>
          <cell r="G172">
            <v>-11</v>
          </cell>
          <cell r="H172">
            <v>-45</v>
          </cell>
          <cell r="J172">
            <v>-12</v>
          </cell>
          <cell r="K172">
            <v>-13</v>
          </cell>
          <cell r="L172">
            <v>-11</v>
          </cell>
          <cell r="M172">
            <v>-24</v>
          </cell>
          <cell r="N172">
            <v>-12</v>
          </cell>
          <cell r="O172">
            <v>-9</v>
          </cell>
          <cell r="P172" t="str">
            <v>nm</v>
          </cell>
          <cell r="Q172">
            <v>-33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Q173">
            <v>0</v>
          </cell>
        </row>
        <row r="174">
          <cell r="H174">
            <v>0</v>
          </cell>
          <cell r="Q174">
            <v>0</v>
          </cell>
        </row>
        <row r="175">
          <cell r="B175" t="str">
            <v>Software - COS</v>
          </cell>
        </row>
        <row r="176">
          <cell r="B176" t="str">
            <v>Reported</v>
          </cell>
          <cell r="C176" t="str">
            <v>Fair value of $1,100 / SL 7 years</v>
          </cell>
        </row>
        <row r="177">
          <cell r="C177" t="str">
            <v>Book value</v>
          </cell>
          <cell r="D177">
            <v>-7</v>
          </cell>
          <cell r="E177">
            <v>-7</v>
          </cell>
          <cell r="F177">
            <v>-4</v>
          </cell>
          <cell r="G177">
            <v>-8</v>
          </cell>
          <cell r="H177">
            <v>-26</v>
          </cell>
          <cell r="J177">
            <v>-7</v>
          </cell>
          <cell r="K177">
            <v>-21</v>
          </cell>
          <cell r="L177">
            <v>-1</v>
          </cell>
          <cell r="M177">
            <v>-22</v>
          </cell>
          <cell r="N177">
            <v>-15</v>
          </cell>
          <cell r="O177">
            <v>1</v>
          </cell>
          <cell r="P177">
            <v>0</v>
          </cell>
          <cell r="Q177">
            <v>-21</v>
          </cell>
        </row>
        <row r="178">
          <cell r="C178" t="str">
            <v>Incremental amortization</v>
          </cell>
          <cell r="D178">
            <v>-6</v>
          </cell>
          <cell r="E178">
            <v>-6</v>
          </cell>
          <cell r="F178">
            <v>-10</v>
          </cell>
          <cell r="G178">
            <v>-5</v>
          </cell>
          <cell r="H178">
            <v>-27</v>
          </cell>
          <cell r="J178">
            <v>-6</v>
          </cell>
          <cell r="K178">
            <v>6</v>
          </cell>
          <cell r="L178">
            <v>-10</v>
          </cell>
          <cell r="M178">
            <v>-4</v>
          </cell>
          <cell r="N178">
            <v>2</v>
          </cell>
          <cell r="O178">
            <v>-14</v>
          </cell>
          <cell r="P178">
            <v>0</v>
          </cell>
          <cell r="Q178">
            <v>-18</v>
          </cell>
        </row>
        <row r="179">
          <cell r="C179" t="str">
            <v>Total</v>
          </cell>
          <cell r="D179">
            <v>-13</v>
          </cell>
          <cell r="E179">
            <v>-13</v>
          </cell>
          <cell r="F179">
            <v>-14</v>
          </cell>
          <cell r="G179">
            <v>-13</v>
          </cell>
          <cell r="H179">
            <v>-53</v>
          </cell>
          <cell r="I179">
            <v>0.33757961783439489</v>
          </cell>
          <cell r="J179">
            <v>-13</v>
          </cell>
          <cell r="K179">
            <v>-15</v>
          </cell>
          <cell r="L179">
            <v>-11</v>
          </cell>
          <cell r="M179">
            <v>-26</v>
          </cell>
          <cell r="N179">
            <v>-13</v>
          </cell>
          <cell r="O179">
            <v>-13</v>
          </cell>
          <cell r="P179">
            <v>0</v>
          </cell>
          <cell r="Q179">
            <v>-39</v>
          </cell>
          <cell r="R179">
            <v>0.33050847457627119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2">
          <cell r="B182" t="str">
            <v>Final</v>
          </cell>
          <cell r="C182" t="str">
            <v>Fair value of $506 / various DDB &amp; SL years</v>
          </cell>
        </row>
        <row r="183">
          <cell r="C183" t="str">
            <v>Book value</v>
          </cell>
          <cell r="D183">
            <v>-7</v>
          </cell>
          <cell r="E183">
            <v>-7</v>
          </cell>
          <cell r="F183">
            <v>-4</v>
          </cell>
          <cell r="G183">
            <v>-8</v>
          </cell>
          <cell r="H183">
            <v>-26</v>
          </cell>
          <cell r="J183">
            <v>-7</v>
          </cell>
          <cell r="K183">
            <v>-21</v>
          </cell>
          <cell r="L183">
            <v>-1</v>
          </cell>
          <cell r="M183">
            <v>-22</v>
          </cell>
          <cell r="N183">
            <v>-15</v>
          </cell>
          <cell r="O183">
            <v>1</v>
          </cell>
          <cell r="P183">
            <v>0</v>
          </cell>
          <cell r="Q183">
            <v>-21</v>
          </cell>
        </row>
        <row r="184">
          <cell r="C184" t="str">
            <v>Incremental amortization</v>
          </cell>
          <cell r="D184">
            <v>3</v>
          </cell>
          <cell r="E184">
            <v>4</v>
          </cell>
          <cell r="F184">
            <v>0</v>
          </cell>
          <cell r="G184">
            <v>5</v>
          </cell>
          <cell r="H184">
            <v>12</v>
          </cell>
          <cell r="J184">
            <v>3</v>
          </cell>
          <cell r="K184">
            <v>17</v>
          </cell>
          <cell r="L184">
            <v>-2</v>
          </cell>
          <cell r="M184">
            <v>15</v>
          </cell>
          <cell r="N184">
            <v>12</v>
          </cell>
          <cell r="O184">
            <v>-4</v>
          </cell>
          <cell r="P184">
            <v>-4</v>
          </cell>
          <cell r="Q184">
            <v>7</v>
          </cell>
        </row>
        <row r="185">
          <cell r="C185" t="str">
            <v>Total</v>
          </cell>
          <cell r="D185">
            <v>-4</v>
          </cell>
          <cell r="E185">
            <v>-3</v>
          </cell>
          <cell r="F185">
            <v>-4</v>
          </cell>
          <cell r="G185">
            <v>-3</v>
          </cell>
          <cell r="H185">
            <v>-14</v>
          </cell>
          <cell r="I185">
            <v>6.9306930693069313E-2</v>
          </cell>
          <cell r="J185">
            <v>-4</v>
          </cell>
          <cell r="K185">
            <v>-4</v>
          </cell>
          <cell r="L185">
            <v>-3</v>
          </cell>
          <cell r="M185">
            <v>-7</v>
          </cell>
          <cell r="N185">
            <v>-3</v>
          </cell>
          <cell r="O185">
            <v>-3</v>
          </cell>
          <cell r="P185">
            <v>-4</v>
          </cell>
          <cell r="Q185">
            <v>-14</v>
          </cell>
          <cell r="R185">
            <v>6.9306930693069313E-2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8">
          <cell r="B188" t="str">
            <v>Difference</v>
          </cell>
          <cell r="C188" t="str">
            <v>Normalization adjustment</v>
          </cell>
          <cell r="D188">
            <v>9</v>
          </cell>
          <cell r="E188">
            <v>10</v>
          </cell>
          <cell r="F188">
            <v>10</v>
          </cell>
          <cell r="G188">
            <v>10</v>
          </cell>
          <cell r="H188">
            <v>39</v>
          </cell>
          <cell r="J188">
            <v>9</v>
          </cell>
          <cell r="K188">
            <v>11</v>
          </cell>
          <cell r="L188">
            <v>8</v>
          </cell>
          <cell r="M188">
            <v>19</v>
          </cell>
          <cell r="N188">
            <v>10</v>
          </cell>
          <cell r="O188">
            <v>10</v>
          </cell>
          <cell r="P188" t="str">
            <v>nm</v>
          </cell>
          <cell r="Q188">
            <v>29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Q189">
            <v>0</v>
          </cell>
        </row>
        <row r="191">
          <cell r="B191" t="str">
            <v>Software - Depreciation</v>
          </cell>
        </row>
        <row r="192">
          <cell r="B192" t="str">
            <v>Reported</v>
          </cell>
          <cell r="C192" t="str">
            <v>Fair value of $1,100 / SL 7 years</v>
          </cell>
        </row>
        <row r="193">
          <cell r="C193" t="str">
            <v>Book value</v>
          </cell>
          <cell r="D193">
            <v>-14</v>
          </cell>
          <cell r="E193">
            <v>-14</v>
          </cell>
          <cell r="F193">
            <v>-8</v>
          </cell>
          <cell r="G193">
            <v>-18</v>
          </cell>
          <cell r="H193">
            <v>-54</v>
          </cell>
          <cell r="J193">
            <v>-14</v>
          </cell>
          <cell r="K193">
            <v>-20</v>
          </cell>
          <cell r="L193">
            <v>-29</v>
          </cell>
          <cell r="M193">
            <v>-49</v>
          </cell>
          <cell r="N193">
            <v>-35</v>
          </cell>
          <cell r="O193">
            <v>-34</v>
          </cell>
          <cell r="P193">
            <v>0</v>
          </cell>
          <cell r="Q193">
            <v>-83</v>
          </cell>
        </row>
        <row r="194">
          <cell r="C194" t="str">
            <v>Incremental amortization</v>
          </cell>
          <cell r="D194">
            <v>-12</v>
          </cell>
          <cell r="E194">
            <v>-12</v>
          </cell>
          <cell r="F194">
            <v>-18</v>
          </cell>
          <cell r="G194">
            <v>-8</v>
          </cell>
          <cell r="H194">
            <v>-50</v>
          </cell>
          <cell r="J194">
            <v>-12</v>
          </cell>
          <cell r="K194">
            <v>-11</v>
          </cell>
          <cell r="L194">
            <v>9</v>
          </cell>
          <cell r="M194">
            <v>-2</v>
          </cell>
          <cell r="N194">
            <v>10</v>
          </cell>
          <cell r="O194">
            <v>6</v>
          </cell>
          <cell r="P194">
            <v>0</v>
          </cell>
          <cell r="Q194">
            <v>4</v>
          </cell>
        </row>
        <row r="195">
          <cell r="C195" t="str">
            <v>Total</v>
          </cell>
          <cell r="D195">
            <v>-26</v>
          </cell>
          <cell r="E195">
            <v>-26</v>
          </cell>
          <cell r="F195">
            <v>-26</v>
          </cell>
          <cell r="G195">
            <v>-26</v>
          </cell>
          <cell r="H195">
            <v>-104</v>
          </cell>
          <cell r="I195">
            <v>0.66242038216560506</v>
          </cell>
          <cell r="J195">
            <v>-26</v>
          </cell>
          <cell r="K195">
            <v>-31</v>
          </cell>
          <cell r="L195">
            <v>-20</v>
          </cell>
          <cell r="M195">
            <v>-51</v>
          </cell>
          <cell r="N195">
            <v>-25</v>
          </cell>
          <cell r="O195">
            <v>-28</v>
          </cell>
          <cell r="P195">
            <v>0</v>
          </cell>
          <cell r="Q195">
            <v>-79</v>
          </cell>
          <cell r="R195">
            <v>0.66949152542372881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8">
          <cell r="B198" t="str">
            <v>Final</v>
          </cell>
          <cell r="C198" t="str">
            <v>Fair value of $506 / various DDB &amp; SL years</v>
          </cell>
        </row>
        <row r="199">
          <cell r="C199" t="str">
            <v>Book value</v>
          </cell>
          <cell r="D199">
            <v>-14</v>
          </cell>
          <cell r="E199">
            <v>-14</v>
          </cell>
          <cell r="F199">
            <v>-8</v>
          </cell>
          <cell r="G199">
            <v>-18</v>
          </cell>
          <cell r="H199">
            <v>-54</v>
          </cell>
          <cell r="J199">
            <v>-14</v>
          </cell>
          <cell r="K199">
            <v>-20</v>
          </cell>
          <cell r="L199">
            <v>-29</v>
          </cell>
          <cell r="M199">
            <v>-49</v>
          </cell>
          <cell r="N199">
            <v>-35</v>
          </cell>
          <cell r="O199">
            <v>-34</v>
          </cell>
          <cell r="P199">
            <v>-33</v>
          </cell>
          <cell r="Q199">
            <v>-116</v>
          </cell>
        </row>
        <row r="200">
          <cell r="C200" t="str">
            <v>Incremental amortization</v>
          </cell>
          <cell r="D200">
            <v>-33</v>
          </cell>
          <cell r="E200">
            <v>-33</v>
          </cell>
          <cell r="F200">
            <v>-39</v>
          </cell>
          <cell r="G200">
            <v>-29</v>
          </cell>
          <cell r="H200">
            <v>-134</v>
          </cell>
          <cell r="J200">
            <v>-33</v>
          </cell>
          <cell r="K200">
            <v>-35</v>
          </cell>
          <cell r="L200">
            <v>-10</v>
          </cell>
          <cell r="M200">
            <v>-45</v>
          </cell>
          <cell r="N200">
            <v>-12</v>
          </cell>
          <cell r="O200">
            <v>-13</v>
          </cell>
          <cell r="P200">
            <v>-14</v>
          </cell>
          <cell r="Q200">
            <v>-72</v>
          </cell>
        </row>
        <row r="201">
          <cell r="C201" t="str">
            <v>Total</v>
          </cell>
          <cell r="D201">
            <v>-47</v>
          </cell>
          <cell r="E201">
            <v>-47</v>
          </cell>
          <cell r="F201">
            <v>-47</v>
          </cell>
          <cell r="G201">
            <v>-47</v>
          </cell>
          <cell r="H201">
            <v>-188</v>
          </cell>
          <cell r="I201">
            <v>0.93069306930693074</v>
          </cell>
          <cell r="J201">
            <v>-47</v>
          </cell>
          <cell r="K201">
            <v>-55</v>
          </cell>
          <cell r="L201">
            <v>-39</v>
          </cell>
          <cell r="M201">
            <v>-94</v>
          </cell>
          <cell r="N201">
            <v>-47</v>
          </cell>
          <cell r="O201">
            <v>-47</v>
          </cell>
          <cell r="P201">
            <v>-47</v>
          </cell>
          <cell r="Q201">
            <v>-188</v>
          </cell>
          <cell r="R201">
            <v>0.93069306930693074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4">
          <cell r="B204" t="str">
            <v>Difference</v>
          </cell>
          <cell r="C204" t="str">
            <v>Normalization adjustment</v>
          </cell>
          <cell r="D204">
            <v>-21</v>
          </cell>
          <cell r="E204">
            <v>-21</v>
          </cell>
          <cell r="F204">
            <v>-21</v>
          </cell>
          <cell r="G204">
            <v>-21</v>
          </cell>
          <cell r="H204">
            <v>-84</v>
          </cell>
          <cell r="J204">
            <v>-21</v>
          </cell>
          <cell r="K204">
            <v>-24</v>
          </cell>
          <cell r="L204">
            <v>-19</v>
          </cell>
          <cell r="M204">
            <v>-43</v>
          </cell>
          <cell r="N204">
            <v>-22</v>
          </cell>
          <cell r="O204">
            <v>-19</v>
          </cell>
          <cell r="P204" t="str">
            <v>nm</v>
          </cell>
          <cell r="Q204">
            <v>-62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Q205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3AD13"/>
    <pageSetUpPr fitToPage="1"/>
  </sheetPr>
  <dimension ref="A1:L85"/>
  <sheetViews>
    <sheetView showGridLines="0" tabSelected="1" workbookViewId="0">
      <pane xSplit="2" ySplit="1" topLeftCell="C3" activePane="bottomRight" state="frozen"/>
      <selection activeCell="E16" sqref="E16"/>
      <selection pane="topRight" activeCell="E16" sqref="E16"/>
      <selection pane="bottomLeft" activeCell="E16" sqref="E16"/>
      <selection pane="bottomRight" activeCell="A26" sqref="A26"/>
    </sheetView>
  </sheetViews>
  <sheetFormatPr defaultRowHeight="12.75"/>
  <cols>
    <col min="1" max="1" width="70.7109375" customWidth="1"/>
    <col min="2" max="2" width="1.7109375" customWidth="1"/>
    <col min="3" max="3" width="12.5703125" customWidth="1"/>
    <col min="4" max="4" width="1.7109375" customWidth="1"/>
    <col min="5" max="5" width="12.5703125" customWidth="1"/>
    <col min="6" max="6" width="3.28515625" customWidth="1"/>
    <col min="7" max="7" width="10.85546875" customWidth="1"/>
    <col min="8" max="8" width="10.42578125" customWidth="1"/>
    <col min="9" max="10" width="10.85546875" customWidth="1"/>
    <col min="11" max="11" width="1.7109375" customWidth="1"/>
    <col min="12" max="12" width="11.42578125" customWidth="1"/>
  </cols>
  <sheetData>
    <row r="1" spans="1:12" ht="20.25" customHeight="1">
      <c r="A1" s="63" t="s">
        <v>32</v>
      </c>
      <c r="B1" s="35"/>
    </row>
    <row r="2" spans="1:12" ht="42" customHeight="1">
      <c r="A2" s="126" t="s">
        <v>104</v>
      </c>
      <c r="B2" s="34"/>
    </row>
    <row r="3" spans="1:12" ht="18.75" customHeight="1">
      <c r="A3" s="131" t="s">
        <v>37</v>
      </c>
      <c r="B3" s="106"/>
    </row>
    <row r="4" spans="1:12" ht="19.5" customHeight="1">
      <c r="A4" s="131"/>
      <c r="B4" s="106"/>
    </row>
    <row r="5" spans="1:12">
      <c r="A5" s="128" t="s">
        <v>66</v>
      </c>
    </row>
    <row r="6" spans="1:12">
      <c r="A6" s="128"/>
    </row>
    <row r="7" spans="1:12" ht="18.75" customHeight="1">
      <c r="C7" s="105">
        <v>2010</v>
      </c>
      <c r="E7" s="107">
        <v>2011</v>
      </c>
      <c r="G7" s="130">
        <v>2012</v>
      </c>
      <c r="H7" s="130"/>
      <c r="I7" s="130"/>
      <c r="J7" s="130"/>
      <c r="K7" s="130"/>
      <c r="L7" s="130"/>
    </row>
    <row r="8" spans="1:12" s="31" customFormat="1" ht="15.75">
      <c r="C8" s="33"/>
      <c r="E8" s="33"/>
      <c r="G8" s="33"/>
      <c r="H8" s="33"/>
      <c r="I8" s="33"/>
      <c r="J8" s="33"/>
      <c r="K8" s="55"/>
      <c r="L8" s="33"/>
    </row>
    <row r="9" spans="1:12" s="15" customFormat="1" ht="18">
      <c r="A9" s="32"/>
      <c r="B9" s="32"/>
      <c r="C9" s="36" t="s">
        <v>16</v>
      </c>
      <c r="E9" s="36" t="s">
        <v>16</v>
      </c>
      <c r="G9" s="36" t="s">
        <v>12</v>
      </c>
      <c r="H9" s="36" t="s">
        <v>13</v>
      </c>
      <c r="I9" s="36" t="s">
        <v>14</v>
      </c>
      <c r="J9" s="36" t="s">
        <v>15</v>
      </c>
      <c r="K9" s="2"/>
      <c r="L9" s="36" t="s">
        <v>16</v>
      </c>
    </row>
    <row r="10" spans="1:12" s="1" customFormat="1" ht="15.75">
      <c r="A10" s="3" t="s">
        <v>8</v>
      </c>
      <c r="B10" s="3"/>
      <c r="C10" s="4"/>
      <c r="E10" s="4"/>
      <c r="G10" s="4"/>
      <c r="H10" s="4"/>
      <c r="I10" s="4"/>
      <c r="K10" s="4"/>
      <c r="L10" s="4"/>
    </row>
    <row r="11" spans="1:12" s="1" customFormat="1" ht="15.75">
      <c r="A11" s="1" t="s">
        <v>33</v>
      </c>
      <c r="B11" s="3"/>
      <c r="C11" s="13">
        <v>3400</v>
      </c>
      <c r="D11" s="6"/>
      <c r="E11" s="6">
        <v>3537</v>
      </c>
      <c r="G11" s="13">
        <v>859</v>
      </c>
      <c r="H11" s="13">
        <v>840</v>
      </c>
      <c r="I11" s="13">
        <v>816</v>
      </c>
      <c r="J11" s="6">
        <v>830</v>
      </c>
      <c r="K11" s="13"/>
      <c r="L11" s="6">
        <v>3345</v>
      </c>
    </row>
    <row r="12" spans="1:12" s="1" customFormat="1" ht="15.75">
      <c r="A12" s="1" t="s">
        <v>34</v>
      </c>
      <c r="B12" s="3"/>
      <c r="C12" s="13">
        <v>2432</v>
      </c>
      <c r="D12" s="6"/>
      <c r="E12" s="13">
        <v>2472</v>
      </c>
      <c r="G12" s="13">
        <v>603</v>
      </c>
      <c r="H12" s="13">
        <v>608</v>
      </c>
      <c r="I12" s="13">
        <v>604</v>
      </c>
      <c r="J12" s="13">
        <v>601</v>
      </c>
      <c r="K12" s="13"/>
      <c r="L12" s="13">
        <v>2416</v>
      </c>
    </row>
    <row r="13" spans="1:12" s="1" customFormat="1" ht="15.75">
      <c r="A13" s="1" t="s">
        <v>35</v>
      </c>
      <c r="B13" s="3"/>
      <c r="C13" s="13">
        <v>997</v>
      </c>
      <c r="D13" s="6"/>
      <c r="E13" s="13">
        <v>1134</v>
      </c>
      <c r="G13" s="13">
        <v>298</v>
      </c>
      <c r="H13" s="13">
        <v>292</v>
      </c>
      <c r="I13" s="13">
        <v>303</v>
      </c>
      <c r="J13" s="13">
        <v>320</v>
      </c>
      <c r="K13" s="13"/>
      <c r="L13" s="13">
        <v>1213</v>
      </c>
    </row>
    <row r="14" spans="1:12" s="1" customFormat="1" ht="15.75">
      <c r="A14" s="1" t="s">
        <v>63</v>
      </c>
      <c r="B14" s="3"/>
      <c r="C14" s="10">
        <v>73</v>
      </c>
      <c r="D14" s="6"/>
      <c r="E14" s="10">
        <v>154</v>
      </c>
      <c r="G14" s="10">
        <v>51</v>
      </c>
      <c r="H14" s="10">
        <v>52</v>
      </c>
      <c r="I14" s="10">
        <v>55</v>
      </c>
      <c r="J14" s="10">
        <v>61</v>
      </c>
      <c r="K14" s="13"/>
      <c r="L14" s="10">
        <v>219</v>
      </c>
    </row>
    <row r="15" spans="1:12" s="1" customFormat="1" ht="15.75">
      <c r="A15" s="60" t="s">
        <v>36</v>
      </c>
      <c r="B15" s="3"/>
      <c r="C15" s="78">
        <f>+SUM(C11:C14)</f>
        <v>6902</v>
      </c>
      <c r="D15" s="78"/>
      <c r="E15" s="78">
        <f>+SUM(E11:E14)</f>
        <v>7297</v>
      </c>
      <c r="G15" s="78">
        <f t="shared" ref="G15:J15" si="0">+SUM(G11:G14)</f>
        <v>1811</v>
      </c>
      <c r="H15" s="78">
        <f t="shared" si="0"/>
        <v>1792</v>
      </c>
      <c r="I15" s="78">
        <f t="shared" si="0"/>
        <v>1778</v>
      </c>
      <c r="J15" s="78">
        <f t="shared" si="0"/>
        <v>1812</v>
      </c>
      <c r="K15" s="79"/>
      <c r="L15" s="78">
        <f>+SUM(L11:L14)</f>
        <v>7193</v>
      </c>
    </row>
    <row r="16" spans="1:12" s="1" customFormat="1" ht="15.75">
      <c r="A16" s="15" t="s">
        <v>0</v>
      </c>
      <c r="B16" s="3"/>
      <c r="C16" s="13">
        <v>3027</v>
      </c>
      <c r="D16" s="6"/>
      <c r="E16" s="13">
        <v>3221</v>
      </c>
      <c r="G16" s="13">
        <v>777</v>
      </c>
      <c r="H16" s="13">
        <v>818</v>
      </c>
      <c r="I16" s="13">
        <v>830</v>
      </c>
      <c r="J16" s="13">
        <v>861</v>
      </c>
      <c r="K16" s="13"/>
      <c r="L16" s="13">
        <v>3286</v>
      </c>
    </row>
    <row r="17" spans="1:12" s="15" customFormat="1" ht="15">
      <c r="A17" s="15" t="s">
        <v>1</v>
      </c>
      <c r="C17" s="7">
        <v>907</v>
      </c>
      <c r="D17" s="7"/>
      <c r="E17" s="7">
        <f>1051-1</f>
        <v>1050</v>
      </c>
      <c r="F17" s="16"/>
      <c r="G17" s="13">
        <v>310</v>
      </c>
      <c r="H17" s="13">
        <v>283</v>
      </c>
      <c r="I17" s="13">
        <v>262</v>
      </c>
      <c r="J17" s="13">
        <v>351</v>
      </c>
      <c r="K17" s="41"/>
      <c r="L17" s="7">
        <v>1206</v>
      </c>
    </row>
    <row r="18" spans="1:12" s="15" customFormat="1" ht="15">
      <c r="A18" s="1" t="s">
        <v>25</v>
      </c>
      <c r="C18" s="7">
        <v>789</v>
      </c>
      <c r="D18" s="7"/>
      <c r="E18" s="7">
        <v>852</v>
      </c>
      <c r="F18" s="16"/>
      <c r="G18" s="13">
        <v>209</v>
      </c>
      <c r="H18" s="13">
        <v>216</v>
      </c>
      <c r="I18" s="13">
        <v>219</v>
      </c>
      <c r="J18" s="13">
        <v>250</v>
      </c>
      <c r="K18" s="41"/>
      <c r="L18" s="7">
        <v>894</v>
      </c>
    </row>
    <row r="19" spans="1:12" s="1" customFormat="1" ht="15">
      <c r="A19" s="1" t="s">
        <v>65</v>
      </c>
      <c r="C19" s="7">
        <v>324</v>
      </c>
      <c r="D19" s="7"/>
      <c r="E19" s="7">
        <v>336</v>
      </c>
      <c r="F19" s="54"/>
      <c r="G19" s="13">
        <v>82</v>
      </c>
      <c r="H19" s="13">
        <v>83</v>
      </c>
      <c r="I19" s="13">
        <v>79</v>
      </c>
      <c r="J19" s="13">
        <v>87</v>
      </c>
      <c r="K19" s="41"/>
      <c r="L19" s="7">
        <v>331</v>
      </c>
    </row>
    <row r="20" spans="1:12" s="4" customFormat="1" ht="15">
      <c r="A20" s="1" t="s">
        <v>2</v>
      </c>
      <c r="B20" s="1"/>
      <c r="C20" s="11">
        <v>-12</v>
      </c>
      <c r="D20" s="6"/>
      <c r="E20" s="11">
        <v>-13</v>
      </c>
      <c r="F20" s="30"/>
      <c r="G20" s="38">
        <v>-2</v>
      </c>
      <c r="H20" s="51">
        <v>-3</v>
      </c>
      <c r="I20" s="51">
        <v>-3</v>
      </c>
      <c r="J20" s="51">
        <v>-3</v>
      </c>
      <c r="K20" s="41"/>
      <c r="L20" s="11">
        <v>-11</v>
      </c>
    </row>
    <row r="21" spans="1:12" s="1" customFormat="1" ht="16.5" thickBot="1">
      <c r="A21" s="60" t="s">
        <v>9</v>
      </c>
      <c r="B21" s="8"/>
      <c r="C21" s="14">
        <f>+SUM(C15:C20)</f>
        <v>11937</v>
      </c>
      <c r="D21" s="6"/>
      <c r="E21" s="14">
        <f t="shared" ref="E21" si="1">+SUM(E15:E20)</f>
        <v>12743</v>
      </c>
      <c r="F21" s="30"/>
      <c r="G21" s="14">
        <f t="shared" ref="G21:J21" si="2">+SUM(G15:G20)</f>
        <v>3187</v>
      </c>
      <c r="H21" s="14">
        <f t="shared" si="2"/>
        <v>3189</v>
      </c>
      <c r="I21" s="14">
        <f t="shared" si="2"/>
        <v>3165</v>
      </c>
      <c r="J21" s="14">
        <f t="shared" si="2"/>
        <v>3358</v>
      </c>
      <c r="K21" s="50"/>
      <c r="L21" s="14">
        <f t="shared" ref="L21" si="3">+SUM(L15:L20)</f>
        <v>12899</v>
      </c>
    </row>
    <row r="22" spans="1:12" s="15" customFormat="1" ht="16.5" thickTop="1">
      <c r="C22" s="37"/>
      <c r="D22" s="7">
        <v>1419</v>
      </c>
      <c r="E22" s="37"/>
      <c r="G22" s="37"/>
      <c r="H22" s="50"/>
      <c r="I22" s="50"/>
      <c r="J22" s="37"/>
      <c r="K22" s="41"/>
      <c r="L22" s="37"/>
    </row>
    <row r="23" spans="1:12" s="15" customFormat="1" ht="15.75">
      <c r="A23" s="3" t="s">
        <v>23</v>
      </c>
      <c r="C23" s="37"/>
      <c r="D23" s="7"/>
      <c r="E23" s="37"/>
      <c r="G23" s="37"/>
      <c r="H23" s="50"/>
      <c r="I23" s="50"/>
      <c r="J23" s="37"/>
      <c r="K23" s="41"/>
      <c r="L23" s="37"/>
    </row>
    <row r="24" spans="1:12" s="15" customFormat="1" ht="15">
      <c r="A24" s="1" t="s">
        <v>36</v>
      </c>
      <c r="C24" s="37">
        <v>1790</v>
      </c>
      <c r="D24" s="7">
        <v>0</v>
      </c>
      <c r="E24" s="37">
        <v>1972</v>
      </c>
      <c r="G24" s="13">
        <v>459</v>
      </c>
      <c r="H24" s="13">
        <v>460</v>
      </c>
      <c r="I24" s="13">
        <v>440</v>
      </c>
      <c r="J24" s="13">
        <v>483</v>
      </c>
      <c r="K24" s="41"/>
      <c r="L24" s="37">
        <v>1842</v>
      </c>
    </row>
    <row r="25" spans="1:12" s="15" customFormat="1" ht="15">
      <c r="A25" s="15" t="s">
        <v>0</v>
      </c>
      <c r="C25" s="7">
        <f>1145+1</f>
        <v>1146</v>
      </c>
      <c r="D25" s="7">
        <v>545</v>
      </c>
      <c r="E25" s="7">
        <v>1210</v>
      </c>
      <c r="F25" s="16"/>
      <c r="G25" s="13">
        <v>270</v>
      </c>
      <c r="H25" s="13">
        <v>319</v>
      </c>
      <c r="I25" s="13">
        <v>327</v>
      </c>
      <c r="J25" s="13">
        <v>327</v>
      </c>
      <c r="K25" s="41"/>
      <c r="L25" s="7">
        <v>1243</v>
      </c>
    </row>
    <row r="26" spans="1:12" s="15" customFormat="1" ht="15.75" customHeight="1">
      <c r="A26" s="15" t="s">
        <v>1</v>
      </c>
      <c r="C26" s="7">
        <v>284</v>
      </c>
      <c r="D26" s="7"/>
      <c r="E26" s="7">
        <v>332</v>
      </c>
      <c r="F26" s="16"/>
      <c r="G26" s="13">
        <v>96</v>
      </c>
      <c r="H26" s="13">
        <v>84</v>
      </c>
      <c r="I26" s="13">
        <v>65</v>
      </c>
      <c r="J26" s="13">
        <v>131</v>
      </c>
      <c r="K26" s="41"/>
      <c r="L26" s="7">
        <v>376</v>
      </c>
    </row>
    <row r="27" spans="1:12" s="15" customFormat="1" ht="18.75" customHeight="1">
      <c r="A27" s="1" t="s">
        <v>25</v>
      </c>
      <c r="C27" s="7">
        <v>263</v>
      </c>
      <c r="D27" s="6"/>
      <c r="E27" s="7">
        <v>296</v>
      </c>
      <c r="F27" s="30"/>
      <c r="G27" s="13">
        <v>72</v>
      </c>
      <c r="H27" s="13">
        <v>75</v>
      </c>
      <c r="I27" s="13">
        <v>72</v>
      </c>
      <c r="J27" s="13">
        <v>84</v>
      </c>
      <c r="K27" s="41"/>
      <c r="L27" s="7">
        <v>303</v>
      </c>
    </row>
    <row r="28" spans="1:12" s="15" customFormat="1" ht="15">
      <c r="A28" s="1" t="s">
        <v>65</v>
      </c>
      <c r="C28" s="7">
        <f>-224+13</f>
        <v>-211</v>
      </c>
      <c r="D28" s="7"/>
      <c r="E28" s="7">
        <f>-253+23+3</f>
        <v>-227</v>
      </c>
      <c r="G28" s="13">
        <v>-72</v>
      </c>
      <c r="H28" s="13">
        <v>-46</v>
      </c>
      <c r="I28" s="13">
        <v>-40</v>
      </c>
      <c r="J28" s="13">
        <v>-77</v>
      </c>
      <c r="K28" s="41"/>
      <c r="L28" s="7">
        <v>-235</v>
      </c>
    </row>
    <row r="29" spans="1:12" s="15" customFormat="1" ht="15">
      <c r="A29" s="1" t="s">
        <v>11</v>
      </c>
      <c r="C29" s="7">
        <v>-463</v>
      </c>
      <c r="D29" s="7"/>
      <c r="E29" s="7">
        <v>-215</v>
      </c>
      <c r="G29" s="10">
        <v>0</v>
      </c>
      <c r="H29" s="10">
        <v>0</v>
      </c>
      <c r="I29" s="10">
        <v>0</v>
      </c>
      <c r="J29" s="10">
        <v>0</v>
      </c>
      <c r="K29" s="41"/>
      <c r="L29" s="7">
        <v>0</v>
      </c>
    </row>
    <row r="30" spans="1:12" s="15" customFormat="1" ht="16.5" thickBot="1">
      <c r="A30" s="60" t="s">
        <v>17</v>
      </c>
      <c r="C30" s="14">
        <f>+SUM(C24:C29)</f>
        <v>2809</v>
      </c>
      <c r="D30" s="6"/>
      <c r="E30" s="14">
        <f t="shared" ref="E30" si="4">+SUM(E24:E29)</f>
        <v>3368</v>
      </c>
      <c r="F30" s="30"/>
      <c r="G30" s="14">
        <f t="shared" ref="G30:J30" si="5">+SUM(G24:G29)</f>
        <v>825</v>
      </c>
      <c r="H30" s="14">
        <f t="shared" si="5"/>
        <v>892</v>
      </c>
      <c r="I30" s="14">
        <f t="shared" si="5"/>
        <v>864</v>
      </c>
      <c r="J30" s="14">
        <f t="shared" si="5"/>
        <v>948</v>
      </c>
      <c r="K30" s="50"/>
      <c r="L30" s="14">
        <f t="shared" ref="L30" si="6">+SUM(L24:L29)</f>
        <v>3529</v>
      </c>
    </row>
    <row r="31" spans="1:12" s="15" customFormat="1" ht="16.5" thickTop="1">
      <c r="C31" s="40"/>
      <c r="E31" s="40"/>
      <c r="G31" s="37"/>
      <c r="H31" s="50"/>
      <c r="I31" s="50"/>
      <c r="J31" s="37"/>
      <c r="K31" s="56"/>
      <c r="L31" s="40"/>
    </row>
    <row r="32" spans="1:12" s="15" customFormat="1" ht="15.75">
      <c r="A32" s="3" t="s">
        <v>24</v>
      </c>
      <c r="B32" s="3"/>
      <c r="C32" s="48"/>
      <c r="D32" s="1"/>
      <c r="E32" s="48"/>
      <c r="F32" s="25"/>
      <c r="G32" s="53"/>
      <c r="H32" s="53"/>
      <c r="I32" s="53"/>
      <c r="J32" s="53"/>
      <c r="K32" s="58"/>
      <c r="L32" s="48"/>
    </row>
    <row r="33" spans="1:12" s="15" customFormat="1" ht="15.75">
      <c r="A33" s="1" t="s">
        <v>36</v>
      </c>
      <c r="B33" s="3"/>
      <c r="C33" s="13">
        <f>+C41-C24</f>
        <v>-520</v>
      </c>
      <c r="D33" s="6"/>
      <c r="E33" s="13">
        <f t="shared" ref="E33" si="7">+E41-E24</f>
        <v>-576</v>
      </c>
      <c r="F33" s="25"/>
      <c r="G33" s="13">
        <f t="shared" ref="G33:J33" si="8">+G41-G24</f>
        <v>-157</v>
      </c>
      <c r="H33" s="13">
        <f t="shared" si="8"/>
        <v>-154</v>
      </c>
      <c r="I33" s="13">
        <f t="shared" si="8"/>
        <v>-157</v>
      </c>
      <c r="J33" s="13">
        <f t="shared" si="8"/>
        <v>-159</v>
      </c>
      <c r="K33" s="66"/>
      <c r="L33" s="13">
        <f t="shared" ref="L33" si="9">+L41-L24</f>
        <v>-627</v>
      </c>
    </row>
    <row r="34" spans="1:12" s="15" customFormat="1" ht="15.75">
      <c r="A34" s="15" t="s">
        <v>0</v>
      </c>
      <c r="B34" s="3"/>
      <c r="C34" s="13">
        <f>+C42-C25</f>
        <v>-254</v>
      </c>
      <c r="D34" s="6"/>
      <c r="E34" s="13">
        <f t="shared" ref="E34:E37" si="10">+E42-E25</f>
        <v>-269</v>
      </c>
      <c r="F34" s="25"/>
      <c r="G34" s="13">
        <f t="shared" ref="G34:J34" si="11">+G42-G25</f>
        <v>-70</v>
      </c>
      <c r="H34" s="13">
        <f t="shared" si="11"/>
        <v>-68</v>
      </c>
      <c r="I34" s="13">
        <f t="shared" si="11"/>
        <v>-71</v>
      </c>
      <c r="J34" s="13">
        <f t="shared" si="11"/>
        <v>-70</v>
      </c>
      <c r="K34" s="66"/>
      <c r="L34" s="13">
        <f t="shared" ref="L34" si="12">+L42-L25</f>
        <v>-279</v>
      </c>
    </row>
    <row r="35" spans="1:12" s="15" customFormat="1" ht="15">
      <c r="A35" s="15" t="s">
        <v>1</v>
      </c>
      <c r="C35" s="13">
        <f>+C43-C26</f>
        <v>-81</v>
      </c>
      <c r="D35" s="7"/>
      <c r="E35" s="13">
        <f t="shared" si="10"/>
        <v>-95</v>
      </c>
      <c r="F35" s="16"/>
      <c r="G35" s="13">
        <f t="shared" ref="G35:J35" si="13">+G43-G26</f>
        <v>-28</v>
      </c>
      <c r="H35" s="13">
        <f t="shared" si="13"/>
        <v>-28</v>
      </c>
      <c r="I35" s="13">
        <f t="shared" si="13"/>
        <v>-31</v>
      </c>
      <c r="J35" s="13">
        <f t="shared" si="13"/>
        <v>-28</v>
      </c>
      <c r="K35" s="41"/>
      <c r="L35" s="13">
        <f t="shared" ref="L35" si="14">+L43-L26</f>
        <v>-115</v>
      </c>
    </row>
    <row r="36" spans="1:12" s="15" customFormat="1" ht="15">
      <c r="A36" s="1" t="s">
        <v>25</v>
      </c>
      <c r="C36" s="13">
        <f>+C44-C27</f>
        <v>-54</v>
      </c>
      <c r="D36" s="7"/>
      <c r="E36" s="13">
        <f t="shared" si="10"/>
        <v>-59</v>
      </c>
      <c r="F36" s="16"/>
      <c r="G36" s="13">
        <f t="shared" ref="G36:J36" si="15">+G44-G27</f>
        <v>-17</v>
      </c>
      <c r="H36" s="13">
        <f t="shared" si="15"/>
        <v>-16</v>
      </c>
      <c r="I36" s="13">
        <f t="shared" si="15"/>
        <v>-17</v>
      </c>
      <c r="J36" s="13">
        <f t="shared" si="15"/>
        <v>-18</v>
      </c>
      <c r="K36" s="41"/>
      <c r="L36" s="13">
        <f t="shared" ref="L36" si="16">+L44-L27</f>
        <v>-68</v>
      </c>
    </row>
    <row r="37" spans="1:12" s="15" customFormat="1" ht="15.75">
      <c r="A37" s="1" t="s">
        <v>65</v>
      </c>
      <c r="B37" s="8"/>
      <c r="C37" s="13">
        <f>+C45-C28</f>
        <v>-46</v>
      </c>
      <c r="D37" s="77"/>
      <c r="E37" s="13">
        <f t="shared" si="10"/>
        <v>-43</v>
      </c>
      <c r="F37" s="30"/>
      <c r="G37" s="13">
        <f t="shared" ref="G37:J37" si="17">+G45-G28</f>
        <v>-8</v>
      </c>
      <c r="H37" s="13">
        <f t="shared" si="17"/>
        <v>-9</v>
      </c>
      <c r="I37" s="13">
        <f t="shared" si="17"/>
        <v>-3</v>
      </c>
      <c r="J37" s="13">
        <f t="shared" si="17"/>
        <v>-15</v>
      </c>
      <c r="K37" s="41"/>
      <c r="L37" s="13">
        <f t="shared" ref="L37" si="18">+L45-L28</f>
        <v>-35</v>
      </c>
    </row>
    <row r="38" spans="1:12" s="15" customFormat="1" ht="16.5" thickBot="1">
      <c r="A38" s="60" t="s">
        <v>27</v>
      </c>
      <c r="B38" s="8"/>
      <c r="C38" s="14">
        <f>+SUM(C33:C37)</f>
        <v>-955</v>
      </c>
      <c r="D38" s="77"/>
      <c r="E38" s="14">
        <f t="shared" ref="E38" si="19">+SUM(E33:E37)</f>
        <v>-1042</v>
      </c>
      <c r="F38" s="30"/>
      <c r="G38" s="14">
        <f>+SUM(G33:G37)</f>
        <v>-280</v>
      </c>
      <c r="H38" s="14">
        <f t="shared" ref="H38:J38" si="20">+SUM(H33:H37)</f>
        <v>-275</v>
      </c>
      <c r="I38" s="14">
        <f t="shared" si="20"/>
        <v>-279</v>
      </c>
      <c r="J38" s="14">
        <f t="shared" si="20"/>
        <v>-290</v>
      </c>
      <c r="K38" s="50"/>
      <c r="L38" s="14">
        <f t="shared" ref="L38" si="21">+SUM(L33:L37)</f>
        <v>-1124</v>
      </c>
    </row>
    <row r="39" spans="1:12" s="15" customFormat="1" ht="16.5" thickTop="1">
      <c r="A39" s="64"/>
      <c r="C39" s="37"/>
      <c r="D39" s="7"/>
      <c r="E39" s="37"/>
      <c r="G39" s="37"/>
      <c r="H39" s="50"/>
      <c r="I39" s="50"/>
      <c r="J39" s="37"/>
      <c r="K39" s="41"/>
      <c r="L39" s="37"/>
    </row>
    <row r="40" spans="1:12" s="1" customFormat="1" ht="15.75">
      <c r="A40" s="3" t="s">
        <v>28</v>
      </c>
      <c r="B40" s="3"/>
      <c r="C40" s="37"/>
      <c r="D40" s="6"/>
      <c r="E40" s="37"/>
      <c r="G40" s="37"/>
      <c r="H40" s="49"/>
      <c r="I40" s="49"/>
      <c r="J40" s="49"/>
      <c r="K40" s="41"/>
      <c r="L40" s="37"/>
    </row>
    <row r="41" spans="1:12" s="1" customFormat="1" ht="15.75">
      <c r="A41" s="1" t="s">
        <v>36</v>
      </c>
      <c r="B41" s="3"/>
      <c r="C41" s="37">
        <f>1268+2</f>
        <v>1270</v>
      </c>
      <c r="D41" s="6">
        <v>0</v>
      </c>
      <c r="E41" s="37">
        <f>1395+1</f>
        <v>1396</v>
      </c>
      <c r="G41" s="13">
        <v>302</v>
      </c>
      <c r="H41" s="13">
        <v>306</v>
      </c>
      <c r="I41" s="13">
        <v>283</v>
      </c>
      <c r="J41" s="13">
        <v>324</v>
      </c>
      <c r="K41" s="41"/>
      <c r="L41" s="37">
        <v>1215</v>
      </c>
    </row>
    <row r="42" spans="1:12" s="1" customFormat="1" ht="15.75">
      <c r="A42" s="15" t="s">
        <v>0</v>
      </c>
      <c r="B42" s="3"/>
      <c r="C42" s="37">
        <f>893-1</f>
        <v>892</v>
      </c>
      <c r="D42" s="6">
        <v>0</v>
      </c>
      <c r="E42" s="37">
        <v>941</v>
      </c>
      <c r="G42" s="13">
        <v>200</v>
      </c>
      <c r="H42" s="13">
        <v>251</v>
      </c>
      <c r="I42" s="13">
        <v>256</v>
      </c>
      <c r="J42" s="13">
        <v>257</v>
      </c>
      <c r="K42" s="41"/>
      <c r="L42" s="37">
        <v>964</v>
      </c>
    </row>
    <row r="43" spans="1:12" s="15" customFormat="1" ht="15">
      <c r="A43" s="15" t="s">
        <v>1</v>
      </c>
      <c r="C43" s="7">
        <v>203</v>
      </c>
      <c r="D43" s="7"/>
      <c r="E43" s="7">
        <f>236+1</f>
        <v>237</v>
      </c>
      <c r="F43" s="16"/>
      <c r="G43" s="13">
        <v>68</v>
      </c>
      <c r="H43" s="13">
        <v>56</v>
      </c>
      <c r="I43" s="13">
        <v>34</v>
      </c>
      <c r="J43" s="13">
        <v>103</v>
      </c>
      <c r="K43" s="41"/>
      <c r="L43" s="7">
        <v>261</v>
      </c>
    </row>
    <row r="44" spans="1:12" s="15" customFormat="1" ht="15">
      <c r="A44" s="1" t="s">
        <v>25</v>
      </c>
      <c r="C44" s="7">
        <v>209</v>
      </c>
      <c r="D44" s="7"/>
      <c r="E44" s="7">
        <v>237</v>
      </c>
      <c r="F44" s="16"/>
      <c r="G44" s="13">
        <v>55</v>
      </c>
      <c r="H44" s="13">
        <v>59</v>
      </c>
      <c r="I44" s="13">
        <v>55</v>
      </c>
      <c r="J44" s="13">
        <v>66</v>
      </c>
      <c r="K44" s="41"/>
      <c r="L44" s="7">
        <v>235</v>
      </c>
    </row>
    <row r="45" spans="1:12" s="1" customFormat="1" ht="15.75">
      <c r="A45" s="1" t="s">
        <v>65</v>
      </c>
      <c r="B45" s="8"/>
      <c r="C45" s="7">
        <f>-249-8</f>
        <v>-257</v>
      </c>
      <c r="D45" s="6"/>
      <c r="E45" s="7">
        <f>-273+3</f>
        <v>-270</v>
      </c>
      <c r="F45" s="30"/>
      <c r="G45" s="13">
        <v>-80</v>
      </c>
      <c r="H45" s="13">
        <v>-55</v>
      </c>
      <c r="I45" s="13">
        <v>-43</v>
      </c>
      <c r="J45" s="13">
        <v>-92</v>
      </c>
      <c r="K45" s="41"/>
      <c r="L45" s="7">
        <v>-270</v>
      </c>
    </row>
    <row r="46" spans="1:12" s="15" customFormat="1" ht="16.5" thickBot="1">
      <c r="A46" s="65" t="s">
        <v>18</v>
      </c>
      <c r="B46" s="17"/>
      <c r="C46" s="14">
        <f>+SUM(C41:C45)</f>
        <v>2317</v>
      </c>
      <c r="D46" s="12"/>
      <c r="E46" s="14">
        <f t="shared" ref="E46" si="22">+SUM(E41:E45)</f>
        <v>2541</v>
      </c>
      <c r="F46" s="18"/>
      <c r="G46" s="14">
        <f t="shared" ref="G46:J46" si="23">+SUM(G41:G45)</f>
        <v>545</v>
      </c>
      <c r="H46" s="14">
        <f t="shared" si="23"/>
        <v>617</v>
      </c>
      <c r="I46" s="14">
        <f t="shared" si="23"/>
        <v>585</v>
      </c>
      <c r="J46" s="14">
        <f t="shared" si="23"/>
        <v>658</v>
      </c>
      <c r="K46" s="12"/>
      <c r="L46" s="14">
        <f t="shared" ref="L46" si="24">+SUM(L41:L45)</f>
        <v>2405</v>
      </c>
    </row>
    <row r="47" spans="1:12" s="15" customFormat="1" ht="17.25" thickTop="1" thickBot="1">
      <c r="A47" s="65" t="s">
        <v>31</v>
      </c>
      <c r="B47" s="17"/>
      <c r="C47" s="20">
        <f>+C46/C21</f>
        <v>0.19410237077992795</v>
      </c>
      <c r="D47" s="24"/>
      <c r="E47" s="20">
        <f t="shared" ref="E47" si="25">+E46/E21</f>
        <v>0.19940359413011066</v>
      </c>
      <c r="F47" s="19"/>
      <c r="G47" s="20">
        <f t="shared" ref="G47:J47" si="26">+G46/G21</f>
        <v>0.17100721681832445</v>
      </c>
      <c r="H47" s="20">
        <f t="shared" si="26"/>
        <v>0.19347757917842584</v>
      </c>
      <c r="I47" s="20">
        <f t="shared" si="26"/>
        <v>0.18483412322274881</v>
      </c>
      <c r="J47" s="20">
        <f t="shared" si="26"/>
        <v>0.19594997022036928</v>
      </c>
      <c r="K47" s="24"/>
      <c r="L47" s="20">
        <f t="shared" ref="L47" si="27">+L46/L21</f>
        <v>0.18644856190402356</v>
      </c>
    </row>
    <row r="48" spans="1:12" s="15" customFormat="1" ht="16.5" thickTop="1">
      <c r="A48" s="17"/>
      <c r="B48" s="17"/>
      <c r="C48" s="18"/>
      <c r="D48" s="19"/>
      <c r="E48" s="18"/>
      <c r="F48" s="19"/>
      <c r="G48" s="18"/>
      <c r="H48" s="18"/>
      <c r="I48" s="18"/>
      <c r="J48" s="18"/>
      <c r="K48" s="19"/>
      <c r="L48" s="18"/>
    </row>
    <row r="49" spans="1:12" s="15" customFormat="1" ht="15.75">
      <c r="A49" s="21" t="s">
        <v>7</v>
      </c>
      <c r="B49" s="21"/>
      <c r="C49" s="66"/>
      <c r="D49" s="7"/>
      <c r="E49" s="66"/>
      <c r="G49" s="41"/>
      <c r="H49" s="41"/>
      <c r="I49" s="41"/>
      <c r="J49" s="41"/>
      <c r="K49" s="66"/>
      <c r="L49" s="66"/>
    </row>
    <row r="50" spans="1:12" s="15" customFormat="1" ht="18" customHeight="1">
      <c r="A50" s="19" t="s">
        <v>18</v>
      </c>
      <c r="B50" s="19"/>
      <c r="C50" s="7">
        <f>+C46</f>
        <v>2317</v>
      </c>
      <c r="D50" s="7"/>
      <c r="E50" s="7">
        <f t="shared" ref="E50" si="28">+E46</f>
        <v>2541</v>
      </c>
      <c r="F50" s="7"/>
      <c r="G50" s="13">
        <f>G46</f>
        <v>545</v>
      </c>
      <c r="H50" s="13">
        <f t="shared" ref="H50:J50" si="29">H46</f>
        <v>617</v>
      </c>
      <c r="I50" s="13">
        <f t="shared" si="29"/>
        <v>585</v>
      </c>
      <c r="J50" s="13">
        <f t="shared" si="29"/>
        <v>658</v>
      </c>
      <c r="K50" s="7"/>
      <c r="L50" s="7">
        <f t="shared" ref="L50" si="30">+L46</f>
        <v>2405</v>
      </c>
    </row>
    <row r="51" spans="1:12" s="15" customFormat="1" ht="15">
      <c r="A51" s="19" t="s">
        <v>3</v>
      </c>
      <c r="B51" s="19"/>
      <c r="C51" s="7"/>
      <c r="D51" s="7"/>
      <c r="E51" s="7"/>
      <c r="F51" s="30"/>
      <c r="G51" s="13"/>
      <c r="H51" s="13"/>
      <c r="I51" s="13"/>
      <c r="J51" s="13"/>
      <c r="K51" s="41"/>
      <c r="L51" s="7"/>
    </row>
    <row r="52" spans="1:12" s="15" customFormat="1" ht="15" customHeight="1">
      <c r="A52" s="22" t="s">
        <v>11</v>
      </c>
      <c r="B52" s="22"/>
      <c r="C52" s="7">
        <f>C29</f>
        <v>-463</v>
      </c>
      <c r="D52" s="7"/>
      <c r="E52" s="7">
        <f t="shared" ref="E52" si="31">E29</f>
        <v>-215</v>
      </c>
      <c r="F52" s="30"/>
      <c r="G52" s="13">
        <v>0</v>
      </c>
      <c r="H52" s="13">
        <v>0</v>
      </c>
      <c r="I52" s="13">
        <v>0</v>
      </c>
      <c r="J52" s="13">
        <v>0</v>
      </c>
      <c r="K52" s="41"/>
      <c r="L52" s="7">
        <f t="shared" ref="L52" si="32">L29</f>
        <v>0</v>
      </c>
    </row>
    <row r="53" spans="1:12" s="15" customFormat="1" ht="15">
      <c r="A53" s="22" t="s">
        <v>19</v>
      </c>
      <c r="B53" s="22"/>
      <c r="C53" s="7">
        <v>-383</v>
      </c>
      <c r="D53" s="6"/>
      <c r="E53" s="7">
        <v>-396</v>
      </c>
      <c r="F53" s="30"/>
      <c r="G53" s="37">
        <v>-114</v>
      </c>
      <c r="H53" s="49">
        <v>-91</v>
      </c>
      <c r="I53" s="49">
        <v>-90</v>
      </c>
      <c r="J53" s="49">
        <v>-95</v>
      </c>
      <c r="K53" s="41"/>
      <c r="L53" s="7">
        <v>-390</v>
      </c>
    </row>
    <row r="54" spans="1:12" s="15" customFormat="1" ht="15.75" customHeight="1">
      <c r="A54" s="22" t="s">
        <v>20</v>
      </c>
      <c r="B54" s="22"/>
      <c r="C54" s="7">
        <f>-177+12</f>
        <v>-165</v>
      </c>
      <c r="D54" s="7"/>
      <c r="E54" s="7">
        <f>-269+14</f>
        <v>-255</v>
      </c>
      <c r="F54" s="16"/>
      <c r="G54" s="37">
        <v>-53</v>
      </c>
      <c r="H54" s="37">
        <v>-63</v>
      </c>
      <c r="I54" s="37">
        <v>-38</v>
      </c>
      <c r="J54" s="37">
        <v>-49</v>
      </c>
      <c r="K54" s="41"/>
      <c r="L54" s="7">
        <v>-203</v>
      </c>
    </row>
    <row r="55" spans="1:12" s="15" customFormat="1" ht="15">
      <c r="A55" s="22" t="s">
        <v>21</v>
      </c>
      <c r="B55" s="22"/>
      <c r="C55" s="7">
        <v>-24</v>
      </c>
      <c r="D55" s="6"/>
      <c r="E55" s="7">
        <v>-38</v>
      </c>
      <c r="F55" s="30"/>
      <c r="G55" s="37">
        <v>-12</v>
      </c>
      <c r="H55" s="49">
        <v>-13</v>
      </c>
      <c r="I55" s="49">
        <v>-12</v>
      </c>
      <c r="J55" s="49">
        <v>-16</v>
      </c>
      <c r="K55" s="41"/>
      <c r="L55" s="7">
        <v>-53</v>
      </c>
    </row>
    <row r="56" spans="1:12" s="15" customFormat="1" ht="15">
      <c r="A56" s="22" t="s">
        <v>4</v>
      </c>
      <c r="B56" s="22"/>
      <c r="C56" s="7">
        <v>-3</v>
      </c>
      <c r="D56" s="6"/>
      <c r="E56" s="7">
        <v>-3</v>
      </c>
      <c r="F56" s="30"/>
      <c r="G56" s="37">
        <v>-1</v>
      </c>
      <c r="H56" s="49">
        <v>-1</v>
      </c>
      <c r="I56" s="49">
        <v>0</v>
      </c>
      <c r="J56" s="49">
        <v>-1</v>
      </c>
      <c r="K56" s="41"/>
      <c r="L56" s="7">
        <v>-3</v>
      </c>
    </row>
    <row r="57" spans="1:12" s="15" customFormat="1" ht="16.5" thickBot="1">
      <c r="A57" s="17" t="s">
        <v>5</v>
      </c>
      <c r="B57" s="17"/>
      <c r="C57" s="39">
        <f>+SUM(C50:C56)</f>
        <v>1279</v>
      </c>
      <c r="D57" s="7"/>
      <c r="E57" s="39">
        <f t="shared" ref="E57" si="33">+SUM(E50:E56)</f>
        <v>1634</v>
      </c>
      <c r="F57" s="30"/>
      <c r="G57" s="39">
        <f t="shared" ref="G57:J57" si="34">+SUM(G50:G56)</f>
        <v>365</v>
      </c>
      <c r="H57" s="39">
        <f t="shared" si="34"/>
        <v>449</v>
      </c>
      <c r="I57" s="39">
        <f t="shared" si="34"/>
        <v>445</v>
      </c>
      <c r="J57" s="39">
        <f t="shared" si="34"/>
        <v>497</v>
      </c>
      <c r="K57" s="50"/>
      <c r="L57" s="39">
        <f t="shared" ref="L57" si="35">+SUM(L50:L56)</f>
        <v>1756</v>
      </c>
    </row>
    <row r="58" spans="1:12" s="15" customFormat="1" ht="17.25" thickTop="1" thickBot="1">
      <c r="A58" s="17" t="s">
        <v>6</v>
      </c>
      <c r="B58" s="17"/>
      <c r="C58" s="71">
        <f>ROUND(+C57/C60,2)</f>
        <v>1.53</v>
      </c>
      <c r="E58" s="71">
        <f t="shared" ref="E58" si="36">ROUND(+E57/E60,2)</f>
        <v>1.96</v>
      </c>
      <c r="F58" s="30"/>
      <c r="G58" s="71">
        <f t="shared" ref="G58:J58" si="37">ROUND(+G57/G60,2)</f>
        <v>0.44</v>
      </c>
      <c r="H58" s="71">
        <f t="shared" si="37"/>
        <v>0.54</v>
      </c>
      <c r="I58" s="71">
        <f t="shared" si="37"/>
        <v>0.54</v>
      </c>
      <c r="J58" s="71">
        <f t="shared" si="37"/>
        <v>0.6</v>
      </c>
      <c r="K58" s="57"/>
      <c r="L58" s="71">
        <f t="shared" ref="L58" si="38">ROUND(+L57/L60,2)</f>
        <v>2.12</v>
      </c>
    </row>
    <row r="59" spans="1:12" s="15" customFormat="1" ht="16.5" thickTop="1">
      <c r="A59" s="17"/>
      <c r="B59" s="17"/>
      <c r="C59" s="43"/>
      <c r="E59" s="43"/>
      <c r="G59" s="43"/>
      <c r="H59" s="43"/>
      <c r="I59" s="43"/>
      <c r="J59" s="43"/>
      <c r="K59" s="43"/>
      <c r="L59" s="43"/>
    </row>
    <row r="60" spans="1:12" s="15" customFormat="1" ht="15">
      <c r="A60" s="19" t="s">
        <v>10</v>
      </c>
      <c r="B60" s="19"/>
      <c r="C60" s="27">
        <v>836.4</v>
      </c>
      <c r="E60" s="27">
        <v>835.8</v>
      </c>
      <c r="G60" s="44">
        <v>830.3</v>
      </c>
      <c r="H60" s="44">
        <v>830.7</v>
      </c>
      <c r="I60" s="44">
        <v>828.4</v>
      </c>
      <c r="J60" s="44">
        <v>829.2</v>
      </c>
      <c r="K60" s="44"/>
      <c r="L60" s="27">
        <v>829.6</v>
      </c>
    </row>
    <row r="61" spans="1:12" s="15" customFormat="1" ht="15.75">
      <c r="A61" s="17"/>
      <c r="B61" s="17"/>
      <c r="C61" s="42"/>
      <c r="E61" s="42"/>
      <c r="G61" s="41"/>
      <c r="H61" s="41"/>
      <c r="I61" s="41"/>
      <c r="J61" s="41"/>
      <c r="K61" s="42"/>
      <c r="L61" s="42"/>
    </row>
    <row r="62" spans="1:12" s="15" customFormat="1" ht="15.75">
      <c r="A62" s="3" t="s">
        <v>22</v>
      </c>
      <c r="B62" s="3"/>
      <c r="C62" s="45"/>
      <c r="E62" s="45"/>
      <c r="G62" s="45"/>
      <c r="H62" s="52"/>
      <c r="I62" s="52"/>
      <c r="J62" s="52"/>
      <c r="K62" s="43"/>
      <c r="L62" s="45"/>
    </row>
    <row r="63" spans="1:12" s="15" customFormat="1" ht="15.75">
      <c r="A63" s="1" t="s">
        <v>36</v>
      </c>
      <c r="B63" s="3"/>
      <c r="C63" s="23">
        <f>+C24/C15</f>
        <v>0.25934511735728777</v>
      </c>
      <c r="D63" s="23"/>
      <c r="E63" s="23">
        <f t="shared" ref="E63:E66" si="39">+E24/E15</f>
        <v>0.27024804714266137</v>
      </c>
      <c r="F63" s="73"/>
      <c r="G63" s="23">
        <f t="shared" ref="G63:J63" si="40">+G24/G15</f>
        <v>0.2534511319712866</v>
      </c>
      <c r="H63" s="23">
        <f t="shared" si="40"/>
        <v>0.25669642857142855</v>
      </c>
      <c r="I63" s="23">
        <f t="shared" si="40"/>
        <v>0.24746906636670415</v>
      </c>
      <c r="J63" s="23">
        <f t="shared" si="40"/>
        <v>0.26655629139072845</v>
      </c>
      <c r="K63" s="46"/>
      <c r="L63" s="23">
        <f t="shared" ref="L63" si="41">+L24/L15</f>
        <v>0.25608230223828721</v>
      </c>
    </row>
    <row r="64" spans="1:12" s="15" customFormat="1" ht="15.75">
      <c r="A64" s="15" t="s">
        <v>0</v>
      </c>
      <c r="B64" s="3"/>
      <c r="C64" s="23">
        <f>+C25/C16</f>
        <v>0.37859266600594649</v>
      </c>
      <c r="D64" s="23"/>
      <c r="E64" s="23">
        <f t="shared" si="39"/>
        <v>0.37565973300217326</v>
      </c>
      <c r="F64" s="73"/>
      <c r="G64" s="23">
        <f t="shared" ref="G64:J64" si="42">+G25/G16</f>
        <v>0.34749034749034752</v>
      </c>
      <c r="H64" s="23">
        <f t="shared" si="42"/>
        <v>0.38997555012224938</v>
      </c>
      <c r="I64" s="23">
        <f t="shared" si="42"/>
        <v>0.39397590361445783</v>
      </c>
      <c r="J64" s="23">
        <f t="shared" si="42"/>
        <v>0.37979094076655051</v>
      </c>
      <c r="K64" s="46"/>
      <c r="L64" s="23">
        <f t="shared" ref="L64" si="43">+L25/L16</f>
        <v>0.37827145465611683</v>
      </c>
    </row>
    <row r="65" spans="1:12" s="15" customFormat="1" ht="15">
      <c r="A65" s="15" t="s">
        <v>1</v>
      </c>
      <c r="C65" s="24">
        <f>+C26/C17</f>
        <v>0.3131201764057332</v>
      </c>
      <c r="D65" s="23"/>
      <c r="E65" s="24">
        <f t="shared" si="39"/>
        <v>0.31619047619047619</v>
      </c>
      <c r="F65" s="73"/>
      <c r="G65" s="24">
        <f t="shared" ref="G65:J65" si="44">+G26/G17</f>
        <v>0.30967741935483872</v>
      </c>
      <c r="H65" s="24">
        <f t="shared" si="44"/>
        <v>0.29681978798586572</v>
      </c>
      <c r="I65" s="24">
        <f t="shared" si="44"/>
        <v>0.24809160305343511</v>
      </c>
      <c r="J65" s="24">
        <f t="shared" si="44"/>
        <v>0.37321937321937321</v>
      </c>
      <c r="K65" s="46"/>
      <c r="L65" s="24">
        <f t="shared" ref="L65" si="45">+L26/L17</f>
        <v>0.3117744610281924</v>
      </c>
    </row>
    <row r="66" spans="1:12" s="15" customFormat="1" ht="15">
      <c r="A66" s="1" t="s">
        <v>25</v>
      </c>
      <c r="C66" s="24">
        <f>+C27/C18</f>
        <v>0.33333333333333331</v>
      </c>
      <c r="D66" s="23"/>
      <c r="E66" s="24">
        <f t="shared" si="39"/>
        <v>0.34741784037558687</v>
      </c>
      <c r="F66" s="73"/>
      <c r="G66" s="24">
        <f t="shared" ref="G66:J66" si="46">+G27/G18</f>
        <v>0.34449760765550241</v>
      </c>
      <c r="H66" s="24">
        <f t="shared" si="46"/>
        <v>0.34722222222222221</v>
      </c>
      <c r="I66" s="24">
        <f t="shared" si="46"/>
        <v>0.32876712328767121</v>
      </c>
      <c r="J66" s="24">
        <f t="shared" si="46"/>
        <v>0.33600000000000002</v>
      </c>
      <c r="K66" s="46"/>
      <c r="L66" s="24">
        <f t="shared" ref="L66" si="47">+L27/L18</f>
        <v>0.33892617449664431</v>
      </c>
    </row>
    <row r="67" spans="1:12" s="15" customFormat="1" ht="15.75">
      <c r="A67" s="60" t="s">
        <v>26</v>
      </c>
      <c r="B67" s="8"/>
      <c r="C67" s="61">
        <f>+C30/C21</f>
        <v>0.2353187568065678</v>
      </c>
      <c r="D67" s="61"/>
      <c r="E67" s="61">
        <f t="shared" ref="E67" si="48">+E30/E21</f>
        <v>0.26430196970885977</v>
      </c>
      <c r="F67" s="74"/>
      <c r="G67" s="61">
        <f t="shared" ref="G67:J67" si="49">+G30/G21</f>
        <v>0.25886413555067461</v>
      </c>
      <c r="H67" s="61">
        <f t="shared" si="49"/>
        <v>0.279711508309815</v>
      </c>
      <c r="I67" s="61">
        <f t="shared" si="49"/>
        <v>0.27298578199052131</v>
      </c>
      <c r="J67" s="61">
        <f t="shared" si="49"/>
        <v>0.2823108993448481</v>
      </c>
      <c r="K67" s="62"/>
      <c r="L67" s="61">
        <f t="shared" ref="L67" si="50">+L30/L21</f>
        <v>0.27358709977517637</v>
      </c>
    </row>
    <row r="68" spans="1:12" s="15" customFormat="1" ht="15.75">
      <c r="A68" s="1"/>
      <c r="B68" s="1"/>
      <c r="C68" s="47"/>
      <c r="D68" s="28"/>
      <c r="E68" s="47"/>
      <c r="F68" s="76"/>
      <c r="G68" s="47"/>
      <c r="H68" s="47"/>
      <c r="I68" s="47"/>
      <c r="J68" s="47"/>
      <c r="K68" s="47"/>
      <c r="L68" s="47"/>
    </row>
    <row r="69" spans="1:12" s="15" customFormat="1" ht="15.75">
      <c r="A69" s="3" t="s">
        <v>29</v>
      </c>
      <c r="B69" s="3"/>
      <c r="C69" s="45"/>
      <c r="D69" s="23"/>
      <c r="E69" s="45"/>
      <c r="F69" s="73"/>
      <c r="G69" s="45"/>
      <c r="H69" s="45"/>
      <c r="I69" s="45"/>
      <c r="J69" s="45"/>
      <c r="K69" s="46"/>
      <c r="L69" s="45"/>
    </row>
    <row r="70" spans="1:12" s="15" customFormat="1" ht="15.75">
      <c r="A70" s="1" t="s">
        <v>36</v>
      </c>
      <c r="B70" s="3"/>
      <c r="C70" s="23">
        <f>+C41/C15</f>
        <v>0.18400463633729353</v>
      </c>
      <c r="D70" s="23"/>
      <c r="E70" s="23">
        <f t="shared" ref="E70:E73" si="51">+E41/E15</f>
        <v>0.1913114978758394</v>
      </c>
      <c r="F70" s="73"/>
      <c r="G70" s="23">
        <f t="shared" ref="G70:J70" si="52">+G41/G15</f>
        <v>0.16675869685256764</v>
      </c>
      <c r="H70" s="23">
        <f t="shared" si="52"/>
        <v>0.17075892857142858</v>
      </c>
      <c r="I70" s="23">
        <f t="shared" si="52"/>
        <v>0.15916760404949382</v>
      </c>
      <c r="J70" s="23">
        <f t="shared" si="52"/>
        <v>0.17880794701986755</v>
      </c>
      <c r="K70" s="46"/>
      <c r="L70" s="23">
        <f t="shared" ref="L70" si="53">+L41/L15</f>
        <v>0.16891422216043375</v>
      </c>
    </row>
    <row r="71" spans="1:12" s="15" customFormat="1" ht="15.75">
      <c r="A71" s="15" t="s">
        <v>0</v>
      </c>
      <c r="B71" s="3"/>
      <c r="C71" s="23">
        <f>+C42/C16</f>
        <v>0.29468120251073671</v>
      </c>
      <c r="D71" s="23"/>
      <c r="E71" s="23">
        <f t="shared" si="51"/>
        <v>0.29214529649177273</v>
      </c>
      <c r="F71" s="73"/>
      <c r="G71" s="23">
        <f t="shared" ref="G71:J71" si="54">+G42/G16</f>
        <v>0.2574002574002574</v>
      </c>
      <c r="H71" s="23">
        <f t="shared" si="54"/>
        <v>0.30684596577017115</v>
      </c>
      <c r="I71" s="23">
        <f t="shared" si="54"/>
        <v>0.30843373493975906</v>
      </c>
      <c r="J71" s="23">
        <f t="shared" si="54"/>
        <v>0.29849012775842043</v>
      </c>
      <c r="K71" s="46"/>
      <c r="L71" s="23">
        <f t="shared" ref="L71" si="55">+L42/L16</f>
        <v>0.29336579427875836</v>
      </c>
    </row>
    <row r="72" spans="1:12" s="15" customFormat="1" ht="15">
      <c r="A72" s="15" t="s">
        <v>1</v>
      </c>
      <c r="C72" s="23">
        <f>+C43/C17</f>
        <v>0.22381477398015434</v>
      </c>
      <c r="D72" s="24"/>
      <c r="E72" s="23">
        <f t="shared" si="51"/>
        <v>0.2257142857142857</v>
      </c>
      <c r="F72" s="72"/>
      <c r="G72" s="23">
        <f t="shared" ref="G72:J72" si="56">+G43/G17</f>
        <v>0.21935483870967742</v>
      </c>
      <c r="H72" s="23">
        <f t="shared" si="56"/>
        <v>0.19787985865724381</v>
      </c>
      <c r="I72" s="23">
        <f t="shared" si="56"/>
        <v>0.12977099236641221</v>
      </c>
      <c r="J72" s="23">
        <f t="shared" si="56"/>
        <v>0.29344729344729342</v>
      </c>
      <c r="K72" s="24"/>
      <c r="L72" s="23">
        <f t="shared" ref="L72" si="57">+L43/L17</f>
        <v>0.21641791044776118</v>
      </c>
    </row>
    <row r="73" spans="1:12" s="15" customFormat="1" ht="15">
      <c r="A73" s="1" t="s">
        <v>25</v>
      </c>
      <c r="C73" s="23">
        <f t="shared" ref="C73" si="58">+C44/C18</f>
        <v>0.26489226869455007</v>
      </c>
      <c r="D73" s="24"/>
      <c r="E73" s="23">
        <f t="shared" si="51"/>
        <v>0.27816901408450706</v>
      </c>
      <c r="F73" s="72"/>
      <c r="G73" s="23">
        <f t="shared" ref="G73:J73" si="59">+G44/G18</f>
        <v>0.26315789473684209</v>
      </c>
      <c r="H73" s="23">
        <f t="shared" si="59"/>
        <v>0.27314814814814814</v>
      </c>
      <c r="I73" s="23">
        <f t="shared" si="59"/>
        <v>0.25114155251141551</v>
      </c>
      <c r="J73" s="23">
        <f t="shared" si="59"/>
        <v>0.26400000000000001</v>
      </c>
      <c r="K73" s="24"/>
      <c r="L73" s="23">
        <f t="shared" ref="L73" si="60">+L44/L18</f>
        <v>0.26286353467561524</v>
      </c>
    </row>
    <row r="74" spans="1:12" s="1" customFormat="1" ht="15.75">
      <c r="A74" s="60" t="s">
        <v>30</v>
      </c>
      <c r="B74" s="8"/>
      <c r="C74" s="29">
        <f>+C46/C21</f>
        <v>0.19410237077992795</v>
      </c>
      <c r="D74" s="29"/>
      <c r="E74" s="29">
        <f t="shared" ref="E74" si="61">+E46/E21</f>
        <v>0.19940359413011066</v>
      </c>
      <c r="F74" s="75"/>
      <c r="G74" s="29">
        <f t="shared" ref="G74:J74" si="62">+G46/G21</f>
        <v>0.17100721681832445</v>
      </c>
      <c r="H74" s="29">
        <f t="shared" si="62"/>
        <v>0.19347757917842584</v>
      </c>
      <c r="I74" s="29">
        <f t="shared" si="62"/>
        <v>0.18483412322274881</v>
      </c>
      <c r="J74" s="29">
        <f t="shared" si="62"/>
        <v>0.19594997022036928</v>
      </c>
      <c r="K74" s="29"/>
      <c r="L74" s="29">
        <f t="shared" ref="L74" si="63">+L46/L21</f>
        <v>0.18644856190402356</v>
      </c>
    </row>
    <row r="75" spans="1:12" s="25" customFormat="1" ht="15"/>
    <row r="76" spans="1:12" s="27" customFormat="1" ht="15">
      <c r="A76" s="129"/>
      <c r="B76" s="129"/>
      <c r="C76" s="129"/>
      <c r="D76" s="129"/>
      <c r="E76" s="129"/>
      <c r="F76" s="129"/>
    </row>
    <row r="77" spans="1:12" s="27" customFormat="1" ht="15"/>
    <row r="78" spans="1:12" s="25" customFormat="1" ht="15"/>
    <row r="79" spans="1:12" s="25" customFormat="1" ht="15"/>
    <row r="80" spans="1:12" s="25" customFormat="1" ht="15"/>
    <row r="81" spans="1:5" s="25" customFormat="1" ht="15"/>
    <row r="82" spans="1:5" s="25" customFormat="1" ht="15"/>
    <row r="83" spans="1:5" s="25" customFormat="1" ht="15"/>
    <row r="84" spans="1:5" s="25" customFormat="1" ht="15"/>
    <row r="85" spans="1:5" s="1" customFormat="1" ht="15.75">
      <c r="A85" s="26"/>
      <c r="B85" s="26"/>
      <c r="C85" s="7"/>
      <c r="D85" s="27"/>
      <c r="E85" s="7"/>
    </row>
  </sheetData>
  <mergeCells count="4">
    <mergeCell ref="A5:A6"/>
    <mergeCell ref="A76:F76"/>
    <mergeCell ref="G7:L7"/>
    <mergeCell ref="A3:A4"/>
  </mergeCells>
  <pageMargins left="0.45" right="0.25" top="0.75" bottom="0.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tabColor rgb="FF03AD13"/>
  </sheetPr>
  <dimension ref="A1:L85"/>
  <sheetViews>
    <sheetView showGridLines="0" workbookViewId="0">
      <pane xSplit="2" ySplit="9" topLeftCell="C10" activePane="bottomRight" state="frozen"/>
      <selection activeCell="A28" sqref="A28"/>
      <selection pane="topRight" activeCell="A28" sqref="A28"/>
      <selection pane="bottomLeft" activeCell="A28" sqref="A28"/>
      <selection pane="bottomRight" activeCell="A16" sqref="A16"/>
    </sheetView>
  </sheetViews>
  <sheetFormatPr defaultRowHeight="12.75"/>
  <cols>
    <col min="1" max="1" width="70.7109375" customWidth="1"/>
    <col min="2" max="2" width="1.7109375" customWidth="1"/>
    <col min="3" max="3" width="13.42578125" customWidth="1"/>
    <col min="4" max="4" width="1.7109375" customWidth="1"/>
    <col min="5" max="5" width="13.140625" customWidth="1"/>
    <col min="6" max="6" width="3.28515625" customWidth="1"/>
    <col min="7" max="7" width="10.42578125" customWidth="1"/>
    <col min="8" max="8" width="11.5703125" customWidth="1"/>
    <col min="9" max="9" width="11.28515625" customWidth="1"/>
    <col min="10" max="10" width="11.7109375" customWidth="1"/>
    <col min="11" max="11" width="2.5703125" style="59" customWidth="1"/>
    <col min="12" max="12" width="11.85546875" customWidth="1"/>
  </cols>
  <sheetData>
    <row r="1" spans="1:12" ht="20.25" customHeight="1">
      <c r="A1" s="63" t="s">
        <v>32</v>
      </c>
      <c r="B1" s="35"/>
    </row>
    <row r="2" spans="1:12" ht="42" customHeight="1">
      <c r="A2" s="126" t="s">
        <v>103</v>
      </c>
      <c r="B2" s="34"/>
    </row>
    <row r="3" spans="1:12" ht="13.5" customHeight="1">
      <c r="A3" s="131" t="s">
        <v>37</v>
      </c>
      <c r="B3" s="108"/>
    </row>
    <row r="4" spans="1:12" ht="16.5" customHeight="1">
      <c r="A4" s="131"/>
      <c r="B4" s="108"/>
      <c r="J4" t="s">
        <v>68</v>
      </c>
    </row>
    <row r="5" spans="1:12">
      <c r="A5" s="128" t="s">
        <v>101</v>
      </c>
    </row>
    <row r="6" spans="1:12">
      <c r="A6" s="128"/>
    </row>
    <row r="7" spans="1:12" ht="18.75" customHeight="1">
      <c r="A7" s="132" t="s">
        <v>102</v>
      </c>
      <c r="C7" s="107">
        <v>2010</v>
      </c>
      <c r="E7" s="107">
        <v>2011</v>
      </c>
      <c r="G7" s="130">
        <v>2012</v>
      </c>
      <c r="H7" s="130"/>
      <c r="I7" s="130"/>
      <c r="J7" s="130"/>
      <c r="K7" s="130"/>
      <c r="L7" s="130"/>
    </row>
    <row r="8" spans="1:12" s="31" customFormat="1" ht="15.75">
      <c r="A8" s="132"/>
      <c r="C8" s="33"/>
      <c r="E8" s="33"/>
      <c r="G8" s="33"/>
      <c r="H8" s="33"/>
      <c r="I8" s="33"/>
      <c r="J8" s="33"/>
      <c r="K8" s="55"/>
      <c r="L8" s="33"/>
    </row>
    <row r="9" spans="1:12" s="15" customFormat="1" ht="18">
      <c r="A9" s="32"/>
      <c r="B9" s="32"/>
      <c r="C9" s="36" t="s">
        <v>16</v>
      </c>
      <c r="E9" s="36" t="s">
        <v>16</v>
      </c>
      <c r="G9" s="36" t="s">
        <v>12</v>
      </c>
      <c r="H9" s="36" t="s">
        <v>13</v>
      </c>
      <c r="I9" s="36" t="s">
        <v>14</v>
      </c>
      <c r="J9" s="36" t="s">
        <v>15</v>
      </c>
      <c r="K9" s="2"/>
      <c r="L9" s="36" t="s">
        <v>16</v>
      </c>
    </row>
    <row r="10" spans="1:12" s="1" customFormat="1" ht="15.75">
      <c r="A10" s="3" t="s">
        <v>8</v>
      </c>
      <c r="B10" s="3"/>
      <c r="C10" s="4"/>
      <c r="E10" s="4"/>
      <c r="G10" s="4"/>
      <c r="H10" s="4"/>
      <c r="I10" s="4"/>
      <c r="K10" s="4"/>
      <c r="L10" s="4"/>
    </row>
    <row r="11" spans="1:12" s="1" customFormat="1" ht="15.75">
      <c r="A11" s="1" t="s">
        <v>33</v>
      </c>
      <c r="B11" s="3"/>
      <c r="C11" s="13">
        <f>3400-147-15-593-1</f>
        <v>2644</v>
      </c>
      <c r="D11" s="6"/>
      <c r="E11" s="6">
        <f>3537-154-16-1-607</f>
        <v>2759</v>
      </c>
      <c r="G11" s="13">
        <v>673</v>
      </c>
      <c r="H11" s="13">
        <v>657</v>
      </c>
      <c r="I11" s="13">
        <v>637</v>
      </c>
      <c r="J11" s="6">
        <v>657</v>
      </c>
      <c r="K11" s="13"/>
      <c r="L11" s="6">
        <f>3345-142-16-2-560-1</f>
        <v>2624</v>
      </c>
    </row>
    <row r="12" spans="1:12" s="1" customFormat="1" ht="15.75">
      <c r="A12" s="1" t="s">
        <v>34</v>
      </c>
      <c r="B12" s="3"/>
      <c r="C12" s="13">
        <f>2432-235+5</f>
        <v>2202</v>
      </c>
      <c r="D12" s="6"/>
      <c r="E12" s="13">
        <f>2472+-238+9</f>
        <v>2243</v>
      </c>
      <c r="G12" s="13">
        <v>549</v>
      </c>
      <c r="H12" s="13">
        <v>552</v>
      </c>
      <c r="I12" s="13">
        <v>550</v>
      </c>
      <c r="J12" s="13">
        <v>544</v>
      </c>
      <c r="K12" s="13"/>
      <c r="L12" s="13">
        <f>2416-231+9+1</f>
        <v>2195</v>
      </c>
    </row>
    <row r="13" spans="1:12" s="1" customFormat="1" ht="15.75">
      <c r="A13" s="1" t="s">
        <v>35</v>
      </c>
      <c r="B13" s="3"/>
      <c r="C13" s="13">
        <f>997+588</f>
        <v>1585</v>
      </c>
      <c r="D13" s="6"/>
      <c r="E13" s="13">
        <f>1134+598</f>
        <v>1732</v>
      </c>
      <c r="G13" s="13">
        <v>440</v>
      </c>
      <c r="H13" s="13">
        <v>432</v>
      </c>
      <c r="I13" s="13">
        <v>440</v>
      </c>
      <c r="J13" s="13">
        <v>452</v>
      </c>
      <c r="K13" s="13"/>
      <c r="L13" s="13">
        <f>1213+551</f>
        <v>1764</v>
      </c>
    </row>
    <row r="14" spans="1:12" s="1" customFormat="1" ht="15.75">
      <c r="A14" s="1" t="s">
        <v>63</v>
      </c>
      <c r="B14" s="3"/>
      <c r="C14" s="10">
        <v>73</v>
      </c>
      <c r="D14" s="6"/>
      <c r="E14" s="10">
        <v>154</v>
      </c>
      <c r="G14" s="10">
        <v>51</v>
      </c>
      <c r="H14" s="10">
        <v>52</v>
      </c>
      <c r="I14" s="10">
        <v>55</v>
      </c>
      <c r="J14" s="10">
        <v>61</v>
      </c>
      <c r="K14" s="13"/>
      <c r="L14" s="10">
        <v>219</v>
      </c>
    </row>
    <row r="15" spans="1:12" s="1" customFormat="1" ht="15.75">
      <c r="A15" s="60" t="s">
        <v>36</v>
      </c>
      <c r="B15" s="3"/>
      <c r="C15" s="78">
        <f>+SUM(C11:C14)</f>
        <v>6504</v>
      </c>
      <c r="D15" s="78"/>
      <c r="E15" s="78">
        <f>+SUM(E11:E14)</f>
        <v>6888</v>
      </c>
      <c r="G15" s="78">
        <f t="shared" ref="G15:J15" si="0">+SUM(G11:G14)</f>
        <v>1713</v>
      </c>
      <c r="H15" s="78">
        <f t="shared" si="0"/>
        <v>1693</v>
      </c>
      <c r="I15" s="78">
        <f t="shared" si="0"/>
        <v>1682</v>
      </c>
      <c r="J15" s="78">
        <f t="shared" si="0"/>
        <v>1714</v>
      </c>
      <c r="K15" s="79"/>
      <c r="L15" s="78">
        <f>+SUM(L11:L14)</f>
        <v>6802</v>
      </c>
    </row>
    <row r="16" spans="1:12" s="1" customFormat="1" ht="15.75">
      <c r="A16" s="15" t="s">
        <v>0</v>
      </c>
      <c r="B16" s="3"/>
      <c r="C16" s="13">
        <v>3004</v>
      </c>
      <c r="D16" s="6"/>
      <c r="E16" s="13">
        <v>3195</v>
      </c>
      <c r="G16" s="13">
        <v>771</v>
      </c>
      <c r="H16" s="13">
        <v>812</v>
      </c>
      <c r="I16" s="13">
        <v>825</v>
      </c>
      <c r="J16" s="13">
        <v>858</v>
      </c>
      <c r="K16" s="13"/>
      <c r="L16" s="13">
        <v>3266</v>
      </c>
    </row>
    <row r="17" spans="1:12" s="15" customFormat="1" ht="15">
      <c r="A17" s="15" t="s">
        <v>1</v>
      </c>
      <c r="C17" s="7">
        <v>871</v>
      </c>
      <c r="D17" s="7"/>
      <c r="E17" s="7">
        <v>1009</v>
      </c>
      <c r="F17" s="16"/>
      <c r="G17" s="13">
        <v>299</v>
      </c>
      <c r="H17" s="13">
        <v>273</v>
      </c>
      <c r="I17" s="13">
        <v>250</v>
      </c>
      <c r="J17" s="13">
        <v>339</v>
      </c>
      <c r="K17" s="41"/>
      <c r="L17" s="7">
        <v>1161</v>
      </c>
    </row>
    <row r="18" spans="1:12" s="15" customFormat="1" ht="15">
      <c r="A18" s="1" t="s">
        <v>25</v>
      </c>
      <c r="C18" s="7">
        <v>789</v>
      </c>
      <c r="D18" s="7"/>
      <c r="E18" s="7">
        <v>852</v>
      </c>
      <c r="F18" s="16"/>
      <c r="G18" s="13">
        <v>209</v>
      </c>
      <c r="H18" s="13">
        <v>216</v>
      </c>
      <c r="I18" s="13">
        <v>219</v>
      </c>
      <c r="J18" s="13">
        <v>250</v>
      </c>
      <c r="K18" s="41"/>
      <c r="L18" s="7">
        <v>894</v>
      </c>
    </row>
    <row r="19" spans="1:12" s="1" customFormat="1" ht="15">
      <c r="A19" s="1" t="s">
        <v>65</v>
      </c>
      <c r="C19" s="7">
        <v>324</v>
      </c>
      <c r="D19" s="7"/>
      <c r="E19" s="7">
        <v>336</v>
      </c>
      <c r="F19" s="54"/>
      <c r="G19" s="13">
        <v>82</v>
      </c>
      <c r="H19" s="13">
        <v>83</v>
      </c>
      <c r="I19" s="13">
        <v>79</v>
      </c>
      <c r="J19" s="13">
        <v>87</v>
      </c>
      <c r="K19" s="41"/>
      <c r="L19" s="7">
        <v>331</v>
      </c>
    </row>
    <row r="20" spans="1:12" s="4" customFormat="1" ht="15">
      <c r="A20" s="1" t="s">
        <v>2</v>
      </c>
      <c r="B20" s="1"/>
      <c r="C20" s="11">
        <v>-12</v>
      </c>
      <c r="D20" s="6"/>
      <c r="E20" s="11">
        <v>-13</v>
      </c>
      <c r="F20" s="30"/>
      <c r="G20" s="38">
        <v>-2</v>
      </c>
      <c r="H20" s="51">
        <v>-3</v>
      </c>
      <c r="I20" s="51">
        <v>-3</v>
      </c>
      <c r="J20" s="51">
        <v>-3</v>
      </c>
      <c r="K20" s="41"/>
      <c r="L20" s="11">
        <v>-11</v>
      </c>
    </row>
    <row r="21" spans="1:12" s="1" customFormat="1" ht="16.5" thickBot="1">
      <c r="A21" s="8" t="s">
        <v>9</v>
      </c>
      <c r="B21" s="8"/>
      <c r="C21" s="14">
        <f>+SUM(C15:C20)</f>
        <v>11480</v>
      </c>
      <c r="D21" s="6"/>
      <c r="E21" s="14">
        <f t="shared" ref="E21" si="1">+SUM(E15:E20)</f>
        <v>12267</v>
      </c>
      <c r="F21" s="30"/>
      <c r="G21" s="14">
        <f t="shared" ref="G21:J21" si="2">+SUM(G15:G20)</f>
        <v>3072</v>
      </c>
      <c r="H21" s="14">
        <f t="shared" si="2"/>
        <v>3074</v>
      </c>
      <c r="I21" s="14">
        <f t="shared" si="2"/>
        <v>3052</v>
      </c>
      <c r="J21" s="14">
        <f t="shared" si="2"/>
        <v>3245</v>
      </c>
      <c r="K21" s="50"/>
      <c r="L21" s="14">
        <f t="shared" ref="L21" si="3">+SUM(L15:L20)</f>
        <v>12443</v>
      </c>
    </row>
    <row r="22" spans="1:12" s="15" customFormat="1" ht="16.5" thickTop="1">
      <c r="C22" s="37"/>
      <c r="D22" s="7">
        <v>1419</v>
      </c>
      <c r="E22" s="37"/>
      <c r="G22" s="37"/>
      <c r="H22" s="50"/>
      <c r="I22" s="50"/>
      <c r="J22" s="37"/>
      <c r="K22" s="41"/>
      <c r="L22" s="37"/>
    </row>
    <row r="23" spans="1:12" s="15" customFormat="1" ht="15.75">
      <c r="A23" s="3" t="s">
        <v>23</v>
      </c>
      <c r="C23" s="37"/>
      <c r="D23" s="7"/>
      <c r="E23" s="37"/>
      <c r="G23" s="37"/>
      <c r="H23" s="50"/>
      <c r="I23" s="50"/>
      <c r="J23" s="37"/>
      <c r="K23" s="41"/>
      <c r="L23" s="37"/>
    </row>
    <row r="24" spans="1:12" s="15" customFormat="1" ht="15">
      <c r="A24" s="1" t="s">
        <v>36</v>
      </c>
      <c r="C24" s="37">
        <v>1631</v>
      </c>
      <c r="D24" s="7">
        <v>0</v>
      </c>
      <c r="E24" s="37">
        <v>1803</v>
      </c>
      <c r="G24" s="13">
        <v>423</v>
      </c>
      <c r="H24" s="13">
        <v>421</v>
      </c>
      <c r="I24" s="13">
        <v>403</v>
      </c>
      <c r="J24" s="13">
        <v>444</v>
      </c>
      <c r="K24" s="41"/>
      <c r="L24" s="37">
        <v>1691</v>
      </c>
    </row>
    <row r="25" spans="1:12" s="15" customFormat="1" ht="15">
      <c r="A25" s="15" t="s">
        <v>0</v>
      </c>
      <c r="C25" s="7">
        <v>1150</v>
      </c>
      <c r="D25" s="7">
        <v>545</v>
      </c>
      <c r="E25" s="7">
        <v>1213</v>
      </c>
      <c r="F25" s="16"/>
      <c r="G25" s="13">
        <v>270</v>
      </c>
      <c r="H25" s="13">
        <v>319</v>
      </c>
      <c r="I25" s="13">
        <v>328</v>
      </c>
      <c r="J25" s="13">
        <v>329</v>
      </c>
      <c r="K25" s="41"/>
      <c r="L25" s="7">
        <v>1246</v>
      </c>
    </row>
    <row r="26" spans="1:12" s="15" customFormat="1" ht="15.75" customHeight="1">
      <c r="A26" s="15" t="s">
        <v>1</v>
      </c>
      <c r="C26" s="7">
        <v>265</v>
      </c>
      <c r="D26" s="7"/>
      <c r="E26" s="7">
        <v>310</v>
      </c>
      <c r="F26" s="16"/>
      <c r="G26" s="13">
        <v>91</v>
      </c>
      <c r="H26" s="13">
        <v>79</v>
      </c>
      <c r="I26" s="13">
        <v>58</v>
      </c>
      <c r="J26" s="13">
        <v>124</v>
      </c>
      <c r="K26" s="41"/>
      <c r="L26" s="7">
        <v>352</v>
      </c>
    </row>
    <row r="27" spans="1:12" s="15" customFormat="1" ht="18.75" customHeight="1">
      <c r="A27" s="1" t="s">
        <v>25</v>
      </c>
      <c r="C27" s="7">
        <v>263</v>
      </c>
      <c r="D27" s="6"/>
      <c r="E27" s="7">
        <v>296</v>
      </c>
      <c r="F27" s="30"/>
      <c r="G27" s="13">
        <v>72</v>
      </c>
      <c r="H27" s="13">
        <v>75</v>
      </c>
      <c r="I27" s="13">
        <v>72</v>
      </c>
      <c r="J27" s="13">
        <v>84</v>
      </c>
      <c r="K27" s="41"/>
      <c r="L27" s="7">
        <v>303</v>
      </c>
    </row>
    <row r="28" spans="1:12" s="15" customFormat="1" ht="15">
      <c r="A28" s="1" t="s">
        <v>65</v>
      </c>
      <c r="C28" s="7">
        <f>-224+13-13</f>
        <v>-224</v>
      </c>
      <c r="D28" s="7"/>
      <c r="E28" s="7">
        <f>-253+23+3-32+1</f>
        <v>-258</v>
      </c>
      <c r="G28" s="13">
        <v>-84</v>
      </c>
      <c r="H28" s="13">
        <v>-58</v>
      </c>
      <c r="I28" s="13">
        <v>-52</v>
      </c>
      <c r="J28" s="13">
        <v>-88</v>
      </c>
      <c r="K28" s="41"/>
      <c r="L28" s="7">
        <v>-282</v>
      </c>
    </row>
    <row r="29" spans="1:12" s="15" customFormat="1" ht="15">
      <c r="A29" s="1" t="s">
        <v>11</v>
      </c>
      <c r="C29" s="7">
        <v>-463</v>
      </c>
      <c r="D29" s="7"/>
      <c r="E29" s="7">
        <v>-215</v>
      </c>
      <c r="G29" s="10">
        <v>0</v>
      </c>
      <c r="H29" s="10">
        <v>0</v>
      </c>
      <c r="I29" s="10">
        <v>0</v>
      </c>
      <c r="J29" s="10">
        <v>0</v>
      </c>
      <c r="K29" s="41"/>
      <c r="L29" s="7">
        <v>0</v>
      </c>
    </row>
    <row r="30" spans="1:12" s="15" customFormat="1" ht="16.5" thickBot="1">
      <c r="A30" s="60" t="s">
        <v>17</v>
      </c>
      <c r="C30" s="14">
        <f>+SUM(C24:C29)</f>
        <v>2622</v>
      </c>
      <c r="D30" s="6"/>
      <c r="E30" s="14">
        <f t="shared" ref="E30" si="4">+SUM(E24:E29)</f>
        <v>3149</v>
      </c>
      <c r="F30" s="30"/>
      <c r="G30" s="14">
        <f t="shared" ref="G30:J30" si="5">+SUM(G24:G29)</f>
        <v>772</v>
      </c>
      <c r="H30" s="14">
        <f t="shared" si="5"/>
        <v>836</v>
      </c>
      <c r="I30" s="14">
        <f t="shared" si="5"/>
        <v>809</v>
      </c>
      <c r="J30" s="14">
        <f t="shared" si="5"/>
        <v>893</v>
      </c>
      <c r="K30" s="50"/>
      <c r="L30" s="14">
        <f t="shared" ref="L30" si="6">+SUM(L24:L29)</f>
        <v>3310</v>
      </c>
    </row>
    <row r="31" spans="1:12" s="15" customFormat="1" ht="16.5" thickTop="1">
      <c r="C31" s="40"/>
      <c r="E31" s="40"/>
      <c r="G31" s="37"/>
      <c r="H31" s="50"/>
      <c r="I31" s="50"/>
      <c r="J31" s="37"/>
      <c r="K31" s="56"/>
      <c r="L31" s="40"/>
    </row>
    <row r="32" spans="1:12" s="15" customFormat="1" ht="15.75">
      <c r="A32" s="3" t="s">
        <v>24</v>
      </c>
      <c r="B32" s="3"/>
      <c r="C32" s="48"/>
      <c r="D32" s="1"/>
      <c r="E32" s="48"/>
      <c r="F32" s="25"/>
      <c r="G32" s="53"/>
      <c r="H32" s="53"/>
      <c r="I32" s="53"/>
      <c r="J32" s="53"/>
      <c r="K32" s="58"/>
      <c r="L32" s="48"/>
    </row>
    <row r="33" spans="1:12" s="15" customFormat="1" ht="15.75">
      <c r="A33" s="1" t="s">
        <v>36</v>
      </c>
      <c r="B33" s="3"/>
      <c r="C33" s="13">
        <f>+C41-C24</f>
        <v>-501</v>
      </c>
      <c r="D33" s="6"/>
      <c r="E33" s="13">
        <f t="shared" ref="E33:E37" si="7">+E41-E24</f>
        <v>-558</v>
      </c>
      <c r="F33" s="25"/>
      <c r="G33" s="13">
        <f t="shared" ref="G33:J33" si="8">+G41-G24</f>
        <v>-153</v>
      </c>
      <c r="H33" s="13">
        <f t="shared" si="8"/>
        <v>-148</v>
      </c>
      <c r="I33" s="13">
        <f t="shared" si="8"/>
        <v>-153</v>
      </c>
      <c r="J33" s="13">
        <f t="shared" si="8"/>
        <v>-155</v>
      </c>
      <c r="K33" s="66"/>
      <c r="L33" s="13">
        <f t="shared" ref="L33" si="9">+L41-L24</f>
        <v>-609</v>
      </c>
    </row>
    <row r="34" spans="1:12" s="15" customFormat="1" ht="15.75">
      <c r="A34" s="15" t="s">
        <v>0</v>
      </c>
      <c r="B34" s="3"/>
      <c r="C34" s="13">
        <f>+C42-C25</f>
        <v>-252</v>
      </c>
      <c r="D34" s="6"/>
      <c r="E34" s="13">
        <f t="shared" si="7"/>
        <v>-268</v>
      </c>
      <c r="F34" s="25"/>
      <c r="G34" s="13">
        <f t="shared" ref="G34:J34" si="10">+G42-G25</f>
        <v>-69</v>
      </c>
      <c r="H34" s="13">
        <f t="shared" si="10"/>
        <v>-68</v>
      </c>
      <c r="I34" s="13">
        <f t="shared" si="10"/>
        <v>-72</v>
      </c>
      <c r="J34" s="13">
        <f t="shared" si="10"/>
        <v>-70</v>
      </c>
      <c r="K34" s="66"/>
      <c r="L34" s="13">
        <f t="shared" ref="L34:L37" si="11">+L42-L25</f>
        <v>-279</v>
      </c>
    </row>
    <row r="35" spans="1:12" s="15" customFormat="1" ht="15">
      <c r="A35" s="15" t="s">
        <v>1</v>
      </c>
      <c r="C35" s="13">
        <f>+C43-C26</f>
        <v>-81</v>
      </c>
      <c r="D35" s="7"/>
      <c r="E35" s="13">
        <f t="shared" si="7"/>
        <v>-95</v>
      </c>
      <c r="F35" s="16"/>
      <c r="G35" s="13">
        <f t="shared" ref="G35:J35" si="12">+G43-G26</f>
        <v>-28</v>
      </c>
      <c r="H35" s="13">
        <f t="shared" si="12"/>
        <v>-28</v>
      </c>
      <c r="I35" s="13">
        <f t="shared" si="12"/>
        <v>-30</v>
      </c>
      <c r="J35" s="13">
        <f t="shared" si="12"/>
        <v>-28</v>
      </c>
      <c r="K35" s="41"/>
      <c r="L35" s="13">
        <f t="shared" si="11"/>
        <v>-114</v>
      </c>
    </row>
    <row r="36" spans="1:12" s="15" customFormat="1" ht="15">
      <c r="A36" s="1" t="s">
        <v>25</v>
      </c>
      <c r="C36" s="13">
        <f>+C44-C27</f>
        <v>-54</v>
      </c>
      <c r="D36" s="7"/>
      <c r="E36" s="13">
        <f t="shared" si="7"/>
        <v>-59</v>
      </c>
      <c r="F36" s="16"/>
      <c r="G36" s="13">
        <f t="shared" ref="G36:J36" si="13">+G44-G27</f>
        <v>-17</v>
      </c>
      <c r="H36" s="13">
        <f t="shared" si="13"/>
        <v>-16</v>
      </c>
      <c r="I36" s="13">
        <f t="shared" si="13"/>
        <v>-17</v>
      </c>
      <c r="J36" s="13">
        <f t="shared" si="13"/>
        <v>-18</v>
      </c>
      <c r="K36" s="41"/>
      <c r="L36" s="13">
        <f t="shared" si="11"/>
        <v>-68</v>
      </c>
    </row>
    <row r="37" spans="1:12" s="15" customFormat="1" ht="15.75">
      <c r="A37" s="1" t="s">
        <v>65</v>
      </c>
      <c r="B37" s="8"/>
      <c r="C37" s="13">
        <f>+C45-C28</f>
        <v>-46</v>
      </c>
      <c r="D37" s="77"/>
      <c r="E37" s="13">
        <f t="shared" si="7"/>
        <v>-43</v>
      </c>
      <c r="F37" s="30"/>
      <c r="G37" s="13">
        <f t="shared" ref="G37:J37" si="14">+G45-G28</f>
        <v>-8</v>
      </c>
      <c r="H37" s="13">
        <f t="shared" si="14"/>
        <v>-9</v>
      </c>
      <c r="I37" s="13">
        <f t="shared" si="14"/>
        <v>-3</v>
      </c>
      <c r="J37" s="13">
        <f t="shared" si="14"/>
        <v>-15</v>
      </c>
      <c r="K37" s="41"/>
      <c r="L37" s="13">
        <f t="shared" si="11"/>
        <v>-35</v>
      </c>
    </row>
    <row r="38" spans="1:12" s="15" customFormat="1" ht="16.5" thickBot="1">
      <c r="A38" s="60" t="s">
        <v>27</v>
      </c>
      <c r="B38" s="8"/>
      <c r="C38" s="14">
        <f>+SUM(C33:C37)</f>
        <v>-934</v>
      </c>
      <c r="D38" s="77"/>
      <c r="E38" s="14">
        <f t="shared" ref="E38" si="15">+SUM(E33:E37)</f>
        <v>-1023</v>
      </c>
      <c r="F38" s="30"/>
      <c r="G38" s="14">
        <f>+SUM(G33:G37)</f>
        <v>-275</v>
      </c>
      <c r="H38" s="14">
        <f t="shared" ref="H38:J38" si="16">+SUM(H33:H37)</f>
        <v>-269</v>
      </c>
      <c r="I38" s="14">
        <f t="shared" si="16"/>
        <v>-275</v>
      </c>
      <c r="J38" s="14">
        <f t="shared" si="16"/>
        <v>-286</v>
      </c>
      <c r="K38" s="50"/>
      <c r="L38" s="14">
        <f t="shared" ref="L38" si="17">+SUM(L33:L37)</f>
        <v>-1105</v>
      </c>
    </row>
    <row r="39" spans="1:12" s="15" customFormat="1" ht="16.5" thickTop="1">
      <c r="A39" s="64"/>
      <c r="C39" s="37"/>
      <c r="D39" s="7"/>
      <c r="E39" s="37"/>
      <c r="G39" s="37"/>
      <c r="H39" s="50"/>
      <c r="I39" s="50"/>
      <c r="J39" s="37"/>
      <c r="K39" s="41"/>
      <c r="L39" s="37"/>
    </row>
    <row r="40" spans="1:12" s="1" customFormat="1" ht="15.75">
      <c r="A40" s="3" t="s">
        <v>28</v>
      </c>
      <c r="B40" s="3"/>
      <c r="C40" s="37"/>
      <c r="D40" s="6"/>
      <c r="E40" s="37"/>
      <c r="G40" s="37"/>
      <c r="H40" s="49"/>
      <c r="I40" s="49"/>
      <c r="J40" s="49"/>
      <c r="K40" s="41"/>
      <c r="L40" s="37"/>
    </row>
    <row r="41" spans="1:12" s="1" customFormat="1" ht="15.75">
      <c r="A41" s="1" t="s">
        <v>36</v>
      </c>
      <c r="B41" s="3"/>
      <c r="C41" s="37">
        <v>1130</v>
      </c>
      <c r="D41" s="6">
        <v>0</v>
      </c>
      <c r="E41" s="37">
        <v>1245</v>
      </c>
      <c r="G41" s="13">
        <v>270</v>
      </c>
      <c r="H41" s="13">
        <v>273</v>
      </c>
      <c r="I41" s="13">
        <v>250</v>
      </c>
      <c r="J41" s="13">
        <v>289</v>
      </c>
      <c r="K41" s="41"/>
      <c r="L41" s="37">
        <v>1082</v>
      </c>
    </row>
    <row r="42" spans="1:12" s="1" customFormat="1" ht="15.75">
      <c r="A42" s="15" t="s">
        <v>0</v>
      </c>
      <c r="B42" s="3"/>
      <c r="C42" s="37">
        <v>898</v>
      </c>
      <c r="D42" s="6">
        <v>0</v>
      </c>
      <c r="E42" s="37">
        <v>945</v>
      </c>
      <c r="G42" s="13">
        <v>201</v>
      </c>
      <c r="H42" s="13">
        <v>251</v>
      </c>
      <c r="I42" s="13">
        <v>256</v>
      </c>
      <c r="J42" s="13">
        <v>259</v>
      </c>
      <c r="K42" s="41"/>
      <c r="L42" s="37">
        <v>967</v>
      </c>
    </row>
    <row r="43" spans="1:12" s="15" customFormat="1" ht="15">
      <c r="A43" s="15" t="s">
        <v>1</v>
      </c>
      <c r="C43" s="7">
        <v>184</v>
      </c>
      <c r="D43" s="7"/>
      <c r="E43" s="7">
        <v>215</v>
      </c>
      <c r="F43" s="16"/>
      <c r="G43" s="13">
        <v>63</v>
      </c>
      <c r="H43" s="13">
        <v>51</v>
      </c>
      <c r="I43" s="13">
        <v>28</v>
      </c>
      <c r="J43" s="13">
        <v>96</v>
      </c>
      <c r="K43" s="41"/>
      <c r="L43" s="7">
        <v>238</v>
      </c>
    </row>
    <row r="44" spans="1:12" s="15" customFormat="1" ht="15">
      <c r="A44" s="1" t="s">
        <v>25</v>
      </c>
      <c r="C44" s="7">
        <v>209</v>
      </c>
      <c r="D44" s="7"/>
      <c r="E44" s="7">
        <v>237</v>
      </c>
      <c r="F44" s="16"/>
      <c r="G44" s="13">
        <v>55</v>
      </c>
      <c r="H44" s="13">
        <v>59</v>
      </c>
      <c r="I44" s="13">
        <v>55</v>
      </c>
      <c r="J44" s="13">
        <v>66</v>
      </c>
      <c r="K44" s="41"/>
      <c r="L44" s="7">
        <v>235</v>
      </c>
    </row>
    <row r="45" spans="1:12" s="1" customFormat="1" ht="15.75">
      <c r="A45" s="1" t="s">
        <v>65</v>
      </c>
      <c r="B45" s="8"/>
      <c r="C45" s="7">
        <f>-249-8-13</f>
        <v>-270</v>
      </c>
      <c r="D45" s="6"/>
      <c r="E45" s="7">
        <f>-273+3-32+1</f>
        <v>-301</v>
      </c>
      <c r="F45" s="30"/>
      <c r="G45" s="13">
        <v>-92</v>
      </c>
      <c r="H45" s="13">
        <v>-67</v>
      </c>
      <c r="I45" s="13">
        <v>-55</v>
      </c>
      <c r="J45" s="13">
        <v>-103</v>
      </c>
      <c r="K45" s="41"/>
      <c r="L45" s="7">
        <v>-317</v>
      </c>
    </row>
    <row r="46" spans="1:12" s="15" customFormat="1" ht="16.5" thickBot="1">
      <c r="A46" s="65" t="s">
        <v>18</v>
      </c>
      <c r="B46" s="17"/>
      <c r="C46" s="14">
        <f>+SUM(C41:C45)</f>
        <v>2151</v>
      </c>
      <c r="D46" s="12"/>
      <c r="E46" s="14">
        <f t="shared" ref="E46" si="18">+SUM(E41:E45)</f>
        <v>2341</v>
      </c>
      <c r="F46" s="18"/>
      <c r="G46" s="14">
        <f t="shared" ref="G46:J46" si="19">+SUM(G41:G45)</f>
        <v>497</v>
      </c>
      <c r="H46" s="14">
        <f t="shared" si="19"/>
        <v>567</v>
      </c>
      <c r="I46" s="14">
        <f t="shared" si="19"/>
        <v>534</v>
      </c>
      <c r="J46" s="14">
        <f t="shared" si="19"/>
        <v>607</v>
      </c>
      <c r="K46" s="12"/>
      <c r="L46" s="14">
        <f t="shared" ref="L46" si="20">+SUM(L41:L45)</f>
        <v>2205</v>
      </c>
    </row>
    <row r="47" spans="1:12" s="15" customFormat="1" ht="17.25" thickTop="1" thickBot="1">
      <c r="A47" s="65" t="s">
        <v>31</v>
      </c>
      <c r="B47" s="17"/>
      <c r="C47" s="20">
        <f>+C46/C21</f>
        <v>0.18736933797909408</v>
      </c>
      <c r="D47" s="24"/>
      <c r="E47" s="20">
        <f t="shared" ref="E47" si="21">+E46/E21</f>
        <v>0.19083720551071981</v>
      </c>
      <c r="F47" s="19"/>
      <c r="G47" s="20">
        <f t="shared" ref="G47:J47" si="22">+G46/G21</f>
        <v>0.16178385416666666</v>
      </c>
      <c r="H47" s="20">
        <f t="shared" si="22"/>
        <v>0.18445022771633052</v>
      </c>
      <c r="I47" s="20">
        <f t="shared" si="22"/>
        <v>0.17496723460026212</v>
      </c>
      <c r="J47" s="20">
        <f t="shared" si="22"/>
        <v>0.18705701078582435</v>
      </c>
      <c r="K47" s="24"/>
      <c r="L47" s="20">
        <f t="shared" ref="L47" si="23">+L46/L21</f>
        <v>0.17720806879369927</v>
      </c>
    </row>
    <row r="48" spans="1:12" s="15" customFormat="1" ht="16.5" thickTop="1">
      <c r="A48" s="17"/>
      <c r="B48" s="17"/>
      <c r="C48" s="18"/>
      <c r="D48" s="19"/>
      <c r="E48" s="18"/>
      <c r="F48" s="19"/>
      <c r="G48" s="18"/>
      <c r="H48" s="18"/>
      <c r="I48" s="18"/>
      <c r="J48" s="18"/>
      <c r="K48" s="19"/>
      <c r="L48" s="18"/>
    </row>
    <row r="49" spans="1:12" s="15" customFormat="1" ht="15.75" customHeight="1">
      <c r="A49" s="21" t="s">
        <v>7</v>
      </c>
      <c r="B49" s="21"/>
      <c r="C49" s="66"/>
      <c r="D49" s="7"/>
      <c r="E49" s="66"/>
      <c r="G49" s="41"/>
      <c r="H49" s="41"/>
      <c r="I49" s="41"/>
      <c r="J49" s="41"/>
      <c r="K49" s="66"/>
      <c r="L49" s="66"/>
    </row>
    <row r="50" spans="1:12" s="15" customFormat="1" ht="15.75" customHeight="1">
      <c r="A50" s="19" t="s">
        <v>18</v>
      </c>
      <c r="B50" s="19"/>
      <c r="C50" s="7">
        <f>+C46</f>
        <v>2151</v>
      </c>
      <c r="D50" s="7"/>
      <c r="E50" s="7">
        <f t="shared" ref="E50" si="24">+E46</f>
        <v>2341</v>
      </c>
      <c r="F50" s="7"/>
      <c r="G50" s="13">
        <f>G46</f>
        <v>497</v>
      </c>
      <c r="H50" s="13">
        <f t="shared" ref="H50:J50" si="25">H46</f>
        <v>567</v>
      </c>
      <c r="I50" s="13">
        <f t="shared" si="25"/>
        <v>534</v>
      </c>
      <c r="J50" s="13">
        <f t="shared" si="25"/>
        <v>607</v>
      </c>
      <c r="K50" s="5"/>
      <c r="L50" s="7">
        <f t="shared" ref="L50" si="26">+L46</f>
        <v>2205</v>
      </c>
    </row>
    <row r="51" spans="1:12" s="15" customFormat="1" ht="15.75" customHeight="1">
      <c r="A51" s="19" t="s">
        <v>3</v>
      </c>
      <c r="B51" s="19"/>
      <c r="C51" s="7"/>
      <c r="D51" s="7"/>
      <c r="E51" s="7"/>
      <c r="F51" s="30"/>
      <c r="G51" s="13"/>
      <c r="H51" s="13"/>
      <c r="I51" s="13"/>
      <c r="J51" s="13"/>
      <c r="K51" s="41"/>
      <c r="L51" s="7"/>
    </row>
    <row r="52" spans="1:12" s="15" customFormat="1" ht="15.75" customHeight="1">
      <c r="A52" s="22" t="s">
        <v>11</v>
      </c>
      <c r="B52" s="22"/>
      <c r="C52" s="7">
        <f>C29</f>
        <v>-463</v>
      </c>
      <c r="D52" s="7"/>
      <c r="E52" s="7">
        <f t="shared" ref="E52" si="27">E29</f>
        <v>-215</v>
      </c>
      <c r="F52" s="30"/>
      <c r="G52" s="13">
        <v>0</v>
      </c>
      <c r="H52" s="13">
        <v>0</v>
      </c>
      <c r="I52" s="13">
        <v>0</v>
      </c>
      <c r="J52" s="13">
        <v>0</v>
      </c>
      <c r="K52" s="41"/>
      <c r="L52" s="7">
        <f t="shared" ref="L52" si="28">L29</f>
        <v>0</v>
      </c>
    </row>
    <row r="53" spans="1:12" s="15" customFormat="1" ht="15.75" customHeight="1">
      <c r="A53" s="22" t="s">
        <v>19</v>
      </c>
      <c r="B53" s="22"/>
      <c r="C53" s="7">
        <f>-383-44</f>
        <v>-427</v>
      </c>
      <c r="D53" s="6"/>
      <c r="E53" s="7">
        <f>-396-52</f>
        <v>-448</v>
      </c>
      <c r="F53" s="30"/>
      <c r="G53" s="37">
        <v>-129</v>
      </c>
      <c r="H53" s="49">
        <v>-107</v>
      </c>
      <c r="I53" s="49">
        <v>-106</v>
      </c>
      <c r="J53" s="49">
        <v>-111</v>
      </c>
      <c r="K53" s="41"/>
      <c r="L53" s="7">
        <f>-390-63</f>
        <v>-453</v>
      </c>
    </row>
    <row r="54" spans="1:12" s="15" customFormat="1" ht="15.75" customHeight="1">
      <c r="A54" s="22" t="s">
        <v>20</v>
      </c>
      <c r="B54" s="22"/>
      <c r="C54" s="7">
        <v>-104</v>
      </c>
      <c r="D54" s="7"/>
      <c r="E54" s="7">
        <v>-183</v>
      </c>
      <c r="F54" s="16"/>
      <c r="G54" s="37">
        <v>-35</v>
      </c>
      <c r="H54" s="37">
        <v>-44</v>
      </c>
      <c r="I54" s="37">
        <v>-21</v>
      </c>
      <c r="J54" s="37">
        <v>-29</v>
      </c>
      <c r="K54" s="41"/>
      <c r="L54" s="7">
        <v>-129</v>
      </c>
    </row>
    <row r="55" spans="1:12" s="15" customFormat="1" ht="15">
      <c r="A55" s="22" t="s">
        <v>21</v>
      </c>
      <c r="B55" s="22"/>
      <c r="C55" s="7">
        <v>-24</v>
      </c>
      <c r="D55" s="6"/>
      <c r="E55" s="7">
        <v>-38</v>
      </c>
      <c r="F55" s="30"/>
      <c r="G55" s="37">
        <v>-12</v>
      </c>
      <c r="H55" s="49">
        <v>-13</v>
      </c>
      <c r="I55" s="49">
        <v>-12</v>
      </c>
      <c r="J55" s="49">
        <v>-16</v>
      </c>
      <c r="K55" s="41"/>
      <c r="L55" s="7">
        <v>-53</v>
      </c>
    </row>
    <row r="56" spans="1:12" s="15" customFormat="1" ht="15">
      <c r="A56" s="22" t="s">
        <v>4</v>
      </c>
      <c r="B56" s="22"/>
      <c r="C56" s="7">
        <v>-3</v>
      </c>
      <c r="D56" s="6"/>
      <c r="E56" s="7">
        <v>-3</v>
      </c>
      <c r="F56" s="30"/>
      <c r="G56" s="37">
        <v>-1</v>
      </c>
      <c r="H56" s="49">
        <v>-1</v>
      </c>
      <c r="I56" s="49">
        <v>0</v>
      </c>
      <c r="J56" s="49">
        <v>-1</v>
      </c>
      <c r="K56" s="41"/>
      <c r="L56" s="7">
        <v>-3</v>
      </c>
    </row>
    <row r="57" spans="1:12" s="15" customFormat="1" ht="16.5" thickBot="1">
      <c r="A57" s="17" t="s">
        <v>5</v>
      </c>
      <c r="B57" s="17"/>
      <c r="C57" s="39">
        <f>+SUM(C50:C56)</f>
        <v>1130</v>
      </c>
      <c r="D57" s="7"/>
      <c r="E57" s="39">
        <f t="shared" ref="E57" si="29">+SUM(E50:E56)</f>
        <v>1454</v>
      </c>
      <c r="F57" s="30"/>
      <c r="G57" s="39">
        <f t="shared" ref="G57:J57" si="30">+SUM(G50:G56)</f>
        <v>320</v>
      </c>
      <c r="H57" s="39">
        <f t="shared" si="30"/>
        <v>402</v>
      </c>
      <c r="I57" s="39">
        <f t="shared" si="30"/>
        <v>395</v>
      </c>
      <c r="J57" s="39">
        <f t="shared" si="30"/>
        <v>450</v>
      </c>
      <c r="K57" s="50"/>
      <c r="L57" s="39">
        <f t="shared" ref="L57" si="31">+SUM(L50:L56)</f>
        <v>1567</v>
      </c>
    </row>
    <row r="58" spans="1:12" s="15" customFormat="1" ht="17.25" thickTop="1" thickBot="1">
      <c r="A58" s="17" t="s">
        <v>6</v>
      </c>
      <c r="B58" s="17"/>
      <c r="C58" s="71">
        <f>ROUND(+C57/C60,2)</f>
        <v>1.35</v>
      </c>
      <c r="E58" s="71">
        <f t="shared" ref="E58" si="32">ROUND(+E57/E60,2)</f>
        <v>1.74</v>
      </c>
      <c r="F58" s="30"/>
      <c r="G58" s="71">
        <f t="shared" ref="G58:J58" si="33">ROUND(+G57/G60,2)</f>
        <v>0.39</v>
      </c>
      <c r="H58" s="71">
        <f t="shared" si="33"/>
        <v>0.48</v>
      </c>
      <c r="I58" s="71">
        <f t="shared" si="33"/>
        <v>0.48</v>
      </c>
      <c r="J58" s="71">
        <f t="shared" si="33"/>
        <v>0.54</v>
      </c>
      <c r="K58" s="57"/>
      <c r="L58" s="71">
        <f t="shared" ref="L58" si="34">ROUND(+L57/L60,2)</f>
        <v>1.89</v>
      </c>
    </row>
    <row r="59" spans="1:12" s="15" customFormat="1" ht="16.5" thickTop="1">
      <c r="A59" s="17"/>
      <c r="B59" s="17"/>
      <c r="C59" s="43"/>
      <c r="E59" s="43"/>
      <c r="G59" s="43"/>
      <c r="H59" s="43"/>
      <c r="I59" s="43"/>
      <c r="J59" s="43"/>
      <c r="K59" s="43"/>
      <c r="L59" s="43"/>
    </row>
    <row r="60" spans="1:12" s="15" customFormat="1" ht="15">
      <c r="A60" s="19" t="s">
        <v>10</v>
      </c>
      <c r="B60" s="19"/>
      <c r="C60" s="27">
        <v>836.4</v>
      </c>
      <c r="E60" s="27">
        <v>835.8</v>
      </c>
      <c r="G60" s="44">
        <v>830.3</v>
      </c>
      <c r="H60" s="44">
        <v>830.7</v>
      </c>
      <c r="I60" s="44">
        <v>828.4</v>
      </c>
      <c r="J60" s="44">
        <v>829.2</v>
      </c>
      <c r="K60" s="44"/>
      <c r="L60" s="27">
        <v>829.6</v>
      </c>
    </row>
    <row r="61" spans="1:12" s="15" customFormat="1" ht="15.75">
      <c r="A61" s="17"/>
      <c r="B61" s="17"/>
      <c r="C61" s="42"/>
      <c r="E61" s="42"/>
      <c r="G61" s="41"/>
      <c r="H61" s="41"/>
      <c r="I61" s="41"/>
      <c r="J61" s="41"/>
      <c r="K61" s="42"/>
      <c r="L61" s="42"/>
    </row>
    <row r="62" spans="1:12" s="15" customFormat="1" ht="15.75">
      <c r="A62" s="3" t="s">
        <v>22</v>
      </c>
      <c r="B62" s="3"/>
      <c r="C62" s="45"/>
      <c r="E62" s="45"/>
      <c r="G62" s="45"/>
      <c r="H62" s="52"/>
      <c r="I62" s="52"/>
      <c r="J62" s="52"/>
      <c r="K62" s="43"/>
      <c r="L62" s="45"/>
    </row>
    <row r="63" spans="1:12" s="15" customFormat="1" ht="15.75">
      <c r="A63" s="1" t="s">
        <v>36</v>
      </c>
      <c r="B63" s="3"/>
      <c r="C63" s="23">
        <f>+C24/C15</f>
        <v>0.25076875768757689</v>
      </c>
      <c r="D63" s="23"/>
      <c r="E63" s="23">
        <f t="shared" ref="E63:E66" si="35">+E24/E15</f>
        <v>0.26175958188153309</v>
      </c>
      <c r="F63" s="73"/>
      <c r="G63" s="23">
        <f t="shared" ref="G63:J66" si="36">+G24/G15</f>
        <v>0.2469352014010508</v>
      </c>
      <c r="H63" s="23">
        <f t="shared" si="36"/>
        <v>0.24867099822799762</v>
      </c>
      <c r="I63" s="23">
        <f t="shared" si="36"/>
        <v>0.23959571938168847</v>
      </c>
      <c r="J63" s="23">
        <f t="shared" si="36"/>
        <v>0.25904317386231041</v>
      </c>
      <c r="K63" s="46"/>
      <c r="L63" s="23">
        <f t="shared" ref="L63:L66" si="37">+L24/L15</f>
        <v>0.24860335195530725</v>
      </c>
    </row>
    <row r="64" spans="1:12" s="15" customFormat="1" ht="15.75">
      <c r="A64" s="15" t="s">
        <v>0</v>
      </c>
      <c r="B64" s="3"/>
      <c r="C64" s="23">
        <f>+C25/C16</f>
        <v>0.38282290279627162</v>
      </c>
      <c r="D64" s="23"/>
      <c r="E64" s="23">
        <f t="shared" si="35"/>
        <v>0.37965571205007825</v>
      </c>
      <c r="F64" s="73"/>
      <c r="G64" s="23">
        <f t="shared" si="36"/>
        <v>0.35019455252918286</v>
      </c>
      <c r="H64" s="23">
        <f t="shared" si="36"/>
        <v>0.39285714285714285</v>
      </c>
      <c r="I64" s="23">
        <f t="shared" si="36"/>
        <v>0.39757575757575758</v>
      </c>
      <c r="J64" s="23">
        <f t="shared" si="36"/>
        <v>0.38344988344988346</v>
      </c>
      <c r="K64" s="46"/>
      <c r="L64" s="23">
        <f t="shared" si="37"/>
        <v>0.38150642988364974</v>
      </c>
    </row>
    <row r="65" spans="1:12" s="15" customFormat="1" ht="15">
      <c r="A65" s="15" t="s">
        <v>1</v>
      </c>
      <c r="C65" s="24">
        <f>+C26/C17</f>
        <v>0.30424799081515497</v>
      </c>
      <c r="D65" s="23"/>
      <c r="E65" s="24">
        <f t="shared" si="35"/>
        <v>0.30723488602576809</v>
      </c>
      <c r="F65" s="73"/>
      <c r="G65" s="24">
        <f t="shared" si="36"/>
        <v>0.30434782608695654</v>
      </c>
      <c r="H65" s="24">
        <f t="shared" si="36"/>
        <v>0.2893772893772894</v>
      </c>
      <c r="I65" s="24">
        <f t="shared" si="36"/>
        <v>0.23200000000000001</v>
      </c>
      <c r="J65" s="24">
        <f t="shared" si="36"/>
        <v>0.36578171091445427</v>
      </c>
      <c r="K65" s="46"/>
      <c r="L65" s="24">
        <f t="shared" si="37"/>
        <v>0.30318690783807062</v>
      </c>
    </row>
    <row r="66" spans="1:12" s="15" customFormat="1" ht="15">
      <c r="A66" s="1" t="s">
        <v>25</v>
      </c>
      <c r="C66" s="24">
        <f>+C27/C18</f>
        <v>0.33333333333333331</v>
      </c>
      <c r="D66" s="23"/>
      <c r="E66" s="24">
        <f t="shared" si="35"/>
        <v>0.34741784037558687</v>
      </c>
      <c r="F66" s="73"/>
      <c r="G66" s="24">
        <f t="shared" si="36"/>
        <v>0.34449760765550241</v>
      </c>
      <c r="H66" s="24">
        <f t="shared" si="36"/>
        <v>0.34722222222222221</v>
      </c>
      <c r="I66" s="24">
        <f t="shared" si="36"/>
        <v>0.32876712328767121</v>
      </c>
      <c r="J66" s="24">
        <f t="shared" si="36"/>
        <v>0.33600000000000002</v>
      </c>
      <c r="K66" s="46"/>
      <c r="L66" s="24">
        <f t="shared" si="37"/>
        <v>0.33892617449664431</v>
      </c>
    </row>
    <row r="67" spans="1:12" s="15" customFormat="1" ht="15.75">
      <c r="A67" s="60" t="s">
        <v>26</v>
      </c>
      <c r="B67" s="8"/>
      <c r="C67" s="61">
        <f>+C30/C21</f>
        <v>0.228397212543554</v>
      </c>
      <c r="D67" s="61"/>
      <c r="E67" s="61">
        <f t="shared" ref="E67" si="38">+E30/E21</f>
        <v>0.25670498084291188</v>
      </c>
      <c r="F67" s="74"/>
      <c r="G67" s="61">
        <f t="shared" ref="G67:J67" si="39">+G30/G21</f>
        <v>0.25130208333333331</v>
      </c>
      <c r="H67" s="61">
        <f t="shared" si="39"/>
        <v>0.27195836044242028</v>
      </c>
      <c r="I67" s="61">
        <f t="shared" si="39"/>
        <v>0.26507208387942333</v>
      </c>
      <c r="J67" s="61">
        <f t="shared" si="39"/>
        <v>0.27519260400616335</v>
      </c>
      <c r="K67" s="62"/>
      <c r="L67" s="61">
        <f t="shared" ref="L67" si="40">+L30/L21</f>
        <v>0.26601301936831956</v>
      </c>
    </row>
    <row r="68" spans="1:12" s="15" customFormat="1" ht="15.75">
      <c r="A68" s="1"/>
      <c r="B68" s="1"/>
      <c r="C68" s="47"/>
      <c r="D68" s="28"/>
      <c r="E68" s="47"/>
      <c r="F68" s="76"/>
      <c r="G68" s="47"/>
      <c r="H68" s="47"/>
      <c r="I68" s="47"/>
      <c r="J68" s="47"/>
      <c r="K68" s="47"/>
      <c r="L68" s="47"/>
    </row>
    <row r="69" spans="1:12" s="15" customFormat="1" ht="15.75">
      <c r="A69" s="3" t="s">
        <v>29</v>
      </c>
      <c r="B69" s="3"/>
      <c r="C69" s="45"/>
      <c r="D69" s="23"/>
      <c r="E69" s="45"/>
      <c r="F69" s="73"/>
      <c r="G69" s="45"/>
      <c r="H69" s="45"/>
      <c r="I69" s="45"/>
      <c r="J69" s="45"/>
      <c r="K69" s="46"/>
      <c r="L69" s="45"/>
    </row>
    <row r="70" spans="1:12" s="15" customFormat="1" ht="15.75">
      <c r="A70" s="1" t="s">
        <v>36</v>
      </c>
      <c r="B70" s="3"/>
      <c r="C70" s="23">
        <f>+C41/C15</f>
        <v>0.17373923739237393</v>
      </c>
      <c r="D70" s="23"/>
      <c r="E70" s="23">
        <f t="shared" ref="E70:E73" si="41">+E41/E15</f>
        <v>0.18074912891986064</v>
      </c>
      <c r="F70" s="73"/>
      <c r="G70" s="23">
        <f t="shared" ref="G70:J73" si="42">+G41/G15</f>
        <v>0.15761821366024517</v>
      </c>
      <c r="H70" s="23">
        <f t="shared" si="42"/>
        <v>0.16125221500295334</v>
      </c>
      <c r="I70" s="23">
        <f t="shared" si="42"/>
        <v>0.14863258026159334</v>
      </c>
      <c r="J70" s="23">
        <f t="shared" si="42"/>
        <v>0.16861143523920655</v>
      </c>
      <c r="K70" s="46"/>
      <c r="L70" s="23">
        <f t="shared" ref="L70:L73" si="43">+L41/L15</f>
        <v>0.15907086151132019</v>
      </c>
    </row>
    <row r="71" spans="1:12" s="15" customFormat="1" ht="15.75">
      <c r="A71" s="15" t="s">
        <v>0</v>
      </c>
      <c r="B71" s="3"/>
      <c r="C71" s="23">
        <f>+C42/C16</f>
        <v>0.29893475366178429</v>
      </c>
      <c r="D71" s="23"/>
      <c r="E71" s="23">
        <f t="shared" si="41"/>
        <v>0.29577464788732394</v>
      </c>
      <c r="F71" s="73"/>
      <c r="G71" s="23">
        <f t="shared" si="42"/>
        <v>0.26070038910505838</v>
      </c>
      <c r="H71" s="23">
        <f t="shared" si="42"/>
        <v>0.30911330049261082</v>
      </c>
      <c r="I71" s="23">
        <f t="shared" si="42"/>
        <v>0.3103030303030303</v>
      </c>
      <c r="J71" s="23">
        <f t="shared" si="42"/>
        <v>0.30186480186480186</v>
      </c>
      <c r="K71" s="46"/>
      <c r="L71" s="23">
        <f t="shared" si="43"/>
        <v>0.29608083282302511</v>
      </c>
    </row>
    <row r="72" spans="1:12" s="15" customFormat="1" ht="15">
      <c r="A72" s="15" t="s">
        <v>1</v>
      </c>
      <c r="C72" s="23">
        <f>+C43/C17</f>
        <v>0.21125143513203215</v>
      </c>
      <c r="D72" s="24"/>
      <c r="E72" s="23">
        <f t="shared" si="41"/>
        <v>0.21308225966303271</v>
      </c>
      <c r="F72" s="72"/>
      <c r="G72" s="23">
        <f t="shared" si="42"/>
        <v>0.21070234113712374</v>
      </c>
      <c r="H72" s="23">
        <f t="shared" si="42"/>
        <v>0.18681318681318682</v>
      </c>
      <c r="I72" s="23">
        <f t="shared" si="42"/>
        <v>0.112</v>
      </c>
      <c r="J72" s="23">
        <f t="shared" si="42"/>
        <v>0.2831858407079646</v>
      </c>
      <c r="K72" s="24"/>
      <c r="L72" s="23">
        <f t="shared" si="43"/>
        <v>0.20499569336778639</v>
      </c>
    </row>
    <row r="73" spans="1:12" s="15" customFormat="1" ht="15">
      <c r="A73" s="1" t="s">
        <v>25</v>
      </c>
      <c r="C73" s="23">
        <f t="shared" ref="C73" si="44">+C44/C18</f>
        <v>0.26489226869455007</v>
      </c>
      <c r="D73" s="24"/>
      <c r="E73" s="23">
        <f t="shared" si="41"/>
        <v>0.27816901408450706</v>
      </c>
      <c r="F73" s="72"/>
      <c r="G73" s="23">
        <f t="shared" si="42"/>
        <v>0.26315789473684209</v>
      </c>
      <c r="H73" s="23">
        <f t="shared" si="42"/>
        <v>0.27314814814814814</v>
      </c>
      <c r="I73" s="23">
        <f t="shared" si="42"/>
        <v>0.25114155251141551</v>
      </c>
      <c r="J73" s="23">
        <f t="shared" si="42"/>
        <v>0.26400000000000001</v>
      </c>
      <c r="K73" s="24"/>
      <c r="L73" s="23">
        <f t="shared" si="43"/>
        <v>0.26286353467561524</v>
      </c>
    </row>
    <row r="74" spans="1:12" s="1" customFormat="1" ht="15.75">
      <c r="A74" s="60" t="s">
        <v>30</v>
      </c>
      <c r="B74" s="8"/>
      <c r="C74" s="29">
        <f>+C46/C21</f>
        <v>0.18736933797909408</v>
      </c>
      <c r="D74" s="29"/>
      <c r="E74" s="29">
        <f t="shared" ref="E74" si="45">+E46/E21</f>
        <v>0.19083720551071981</v>
      </c>
      <c r="F74" s="75"/>
      <c r="G74" s="29">
        <f t="shared" ref="G74:J74" si="46">+G46/G21</f>
        <v>0.16178385416666666</v>
      </c>
      <c r="H74" s="29">
        <f t="shared" si="46"/>
        <v>0.18445022771633052</v>
      </c>
      <c r="I74" s="29">
        <f t="shared" si="46"/>
        <v>0.17496723460026212</v>
      </c>
      <c r="J74" s="29">
        <f t="shared" si="46"/>
        <v>0.18705701078582435</v>
      </c>
      <c r="K74" s="29"/>
      <c r="L74" s="29">
        <f t="shared" ref="L74" si="47">+L46/L21</f>
        <v>0.17720806879369927</v>
      </c>
    </row>
    <row r="75" spans="1:12" s="25" customFormat="1" ht="15">
      <c r="K75" s="123"/>
    </row>
    <row r="76" spans="1:12" s="27" customFormat="1" ht="15">
      <c r="A76" s="129"/>
      <c r="B76" s="129"/>
      <c r="C76" s="129"/>
      <c r="D76" s="129"/>
      <c r="E76" s="129"/>
      <c r="F76" s="129"/>
      <c r="K76" s="124"/>
    </row>
    <row r="77" spans="1:12" s="27" customFormat="1" ht="15">
      <c r="K77" s="124"/>
    </row>
    <row r="78" spans="1:12" s="25" customFormat="1" ht="15">
      <c r="K78" s="123"/>
    </row>
    <row r="79" spans="1:12" s="25" customFormat="1" ht="15">
      <c r="K79" s="123"/>
    </row>
    <row r="80" spans="1:12" s="25" customFormat="1" ht="15">
      <c r="K80" s="123"/>
    </row>
    <row r="81" spans="1:11" s="25" customFormat="1" ht="15">
      <c r="K81" s="123"/>
    </row>
    <row r="82" spans="1:11" s="25" customFormat="1" ht="15">
      <c r="K82" s="123"/>
    </row>
    <row r="83" spans="1:11" s="25" customFormat="1" ht="15">
      <c r="K83" s="123"/>
    </row>
    <row r="84" spans="1:11" s="25" customFormat="1" ht="15">
      <c r="K84" s="123"/>
    </row>
    <row r="85" spans="1:11" s="1" customFormat="1" ht="15.75">
      <c r="A85" s="26"/>
      <c r="B85" s="26"/>
      <c r="C85" s="7"/>
      <c r="D85" s="27"/>
      <c r="E85" s="7"/>
      <c r="K85" s="4"/>
    </row>
  </sheetData>
  <mergeCells count="5">
    <mergeCell ref="A3:A4"/>
    <mergeCell ref="A5:A6"/>
    <mergeCell ref="A76:F76"/>
    <mergeCell ref="G7:L7"/>
    <mergeCell ref="A7:A8"/>
  </mergeCells>
  <pageMargins left="0.45" right="0.45" top="0.75" bottom="0.5" header="0.3" footer="0.3"/>
  <pageSetup scale="58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M82"/>
  <sheetViews>
    <sheetView showGridLines="0" workbookViewId="0">
      <pane xSplit="2" ySplit="6" topLeftCell="C37" activePane="bottomRight" state="frozen"/>
      <selection activeCell="A28" sqref="A28"/>
      <selection pane="topRight" activeCell="A28" sqref="A28"/>
      <selection pane="bottomLeft" activeCell="A28" sqref="A28"/>
      <selection pane="bottomRight" activeCell="H5" sqref="H5:M5"/>
    </sheetView>
  </sheetViews>
  <sheetFormatPr defaultRowHeight="12.75"/>
  <cols>
    <col min="1" max="1" width="70.85546875" customWidth="1"/>
    <col min="2" max="2" width="3.5703125" customWidth="1"/>
    <col min="3" max="3" width="3.7109375" customWidth="1"/>
    <col min="4" max="4" width="11.140625" customWidth="1"/>
    <col min="5" max="5" width="3" customWidth="1"/>
    <col min="6" max="6" width="11.140625" customWidth="1"/>
    <col min="7" max="7" width="3.28515625" customWidth="1"/>
    <col min="8" max="8" width="10.5703125" customWidth="1"/>
    <col min="9" max="9" width="9.85546875" customWidth="1"/>
    <col min="10" max="10" width="10.140625" customWidth="1"/>
    <col min="11" max="11" width="9.85546875" customWidth="1"/>
    <col min="12" max="12" width="2.7109375" customWidth="1"/>
    <col min="13" max="13" width="12.42578125" customWidth="1"/>
  </cols>
  <sheetData>
    <row r="2" spans="1:13" ht="18">
      <c r="A2" s="63" t="s">
        <v>32</v>
      </c>
      <c r="B2" s="31"/>
      <c r="C2" s="31"/>
    </row>
    <row r="3" spans="1:13" ht="36">
      <c r="A3" s="63" t="s">
        <v>64</v>
      </c>
      <c r="B3" s="102"/>
      <c r="C3" s="31"/>
    </row>
    <row r="4" spans="1:13" ht="25.5">
      <c r="A4" s="80" t="s">
        <v>37</v>
      </c>
    </row>
    <row r="5" spans="1:13" ht="16.5" customHeight="1">
      <c r="A5" s="133" t="s">
        <v>67</v>
      </c>
      <c r="D5" s="127">
        <v>2010</v>
      </c>
      <c r="F5" s="127">
        <v>2011</v>
      </c>
      <c r="H5" s="134">
        <v>2012</v>
      </c>
      <c r="I5" s="134"/>
      <c r="J5" s="134"/>
      <c r="K5" s="134"/>
      <c r="L5" s="134"/>
      <c r="M5" s="134"/>
    </row>
    <row r="6" spans="1:13" ht="18">
      <c r="A6" s="133"/>
      <c r="B6" s="32"/>
      <c r="C6" s="15"/>
      <c r="D6" s="36" t="s">
        <v>16</v>
      </c>
      <c r="E6" s="15"/>
      <c r="F6" s="36" t="s">
        <v>16</v>
      </c>
      <c r="H6" s="36" t="s">
        <v>12</v>
      </c>
      <c r="I6" s="36" t="s">
        <v>13</v>
      </c>
      <c r="J6" s="36" t="s">
        <v>14</v>
      </c>
      <c r="K6" s="36" t="s">
        <v>15</v>
      </c>
      <c r="L6" s="81"/>
      <c r="M6" s="36" t="s">
        <v>16</v>
      </c>
    </row>
    <row r="7" spans="1:13">
      <c r="L7" s="31"/>
    </row>
    <row r="8" spans="1:13">
      <c r="A8" s="82" t="s">
        <v>38</v>
      </c>
      <c r="L8" s="31"/>
    </row>
    <row r="9" spans="1:13" ht="15.75">
      <c r="A9" s="82" t="s">
        <v>39</v>
      </c>
      <c r="B9" s="68"/>
      <c r="C9" s="68"/>
      <c r="D9" s="68"/>
      <c r="E9" s="68"/>
      <c r="F9" s="68"/>
      <c r="H9" s="68"/>
      <c r="I9" s="68"/>
      <c r="J9" s="68"/>
      <c r="K9" s="68"/>
      <c r="L9" s="68"/>
      <c r="M9" s="68"/>
    </row>
    <row r="10" spans="1:13" ht="15.75">
      <c r="A10" s="95" t="s">
        <v>36</v>
      </c>
      <c r="B10" s="68"/>
      <c r="C10" s="7"/>
      <c r="D10" s="7">
        <f>+'Reported - New Web'!C15</f>
        <v>6902</v>
      </c>
      <c r="E10" s="68"/>
      <c r="F10" s="7">
        <f>+'Reported - New Web'!E15</f>
        <v>7297</v>
      </c>
      <c r="H10" s="7">
        <v>1811</v>
      </c>
      <c r="I10" s="7">
        <v>1792</v>
      </c>
      <c r="J10" s="7">
        <v>1778</v>
      </c>
      <c r="K10" s="7">
        <v>1812</v>
      </c>
      <c r="L10" s="68"/>
      <c r="M10" s="7">
        <f>+'Reported - New Web'!L15</f>
        <v>7193</v>
      </c>
    </row>
    <row r="11" spans="1:13" ht="15.75">
      <c r="A11" s="96" t="s">
        <v>0</v>
      </c>
      <c r="B11" s="68"/>
      <c r="C11" s="7"/>
      <c r="D11" s="7">
        <f>+'Reported - New Web'!C16</f>
        <v>3027</v>
      </c>
      <c r="E11" s="7"/>
      <c r="F11" s="7">
        <f>+'Reported - New Web'!E16</f>
        <v>3221</v>
      </c>
      <c r="H11" s="7">
        <v>777</v>
      </c>
      <c r="I11" s="7">
        <v>818</v>
      </c>
      <c r="J11" s="7">
        <v>830</v>
      </c>
      <c r="K11" s="7">
        <v>861</v>
      </c>
      <c r="L11" s="7"/>
      <c r="M11" s="7">
        <f>+'Reported - New Web'!L16</f>
        <v>3286</v>
      </c>
    </row>
    <row r="12" spans="1:13" ht="15.75">
      <c r="A12" s="96" t="s">
        <v>1</v>
      </c>
      <c r="B12" s="68"/>
      <c r="C12" s="7"/>
      <c r="D12" s="7">
        <f>+'Reported - New Web'!C17</f>
        <v>907</v>
      </c>
      <c r="E12" s="7"/>
      <c r="F12" s="7">
        <f>+'Reported - New Web'!E17</f>
        <v>1050</v>
      </c>
      <c r="H12" s="7">
        <v>310</v>
      </c>
      <c r="I12" s="7">
        <v>283</v>
      </c>
      <c r="J12" s="7">
        <v>262</v>
      </c>
      <c r="K12" s="7">
        <v>351</v>
      </c>
      <c r="L12" s="7"/>
      <c r="M12" s="7">
        <f>+'Reported - New Web'!L17</f>
        <v>1206</v>
      </c>
    </row>
    <row r="13" spans="1:13" ht="15.75">
      <c r="A13" s="96" t="s">
        <v>25</v>
      </c>
      <c r="B13" s="68"/>
      <c r="C13" s="5"/>
      <c r="D13" s="5">
        <f>+'Reported - New Web'!C18</f>
        <v>789</v>
      </c>
      <c r="E13" s="5"/>
      <c r="F13" s="7">
        <f>+'Reported - New Web'!E18</f>
        <v>852</v>
      </c>
      <c r="H13" s="5">
        <v>209</v>
      </c>
      <c r="I13" s="5">
        <v>216</v>
      </c>
      <c r="J13" s="5">
        <v>219</v>
      </c>
      <c r="K13" s="5">
        <v>250</v>
      </c>
      <c r="L13" s="5"/>
      <c r="M13" s="7">
        <f>+'Reported - New Web'!L18</f>
        <v>894</v>
      </c>
    </row>
    <row r="14" spans="1:13" ht="15">
      <c r="A14" s="96" t="s">
        <v>65</v>
      </c>
      <c r="B14" s="7"/>
      <c r="C14" s="7"/>
      <c r="D14" s="7">
        <f>+'Reported - New Web'!C19</f>
        <v>324</v>
      </c>
      <c r="E14" s="7"/>
      <c r="F14" s="7">
        <f>+'Reported - New Web'!E19</f>
        <v>336</v>
      </c>
      <c r="H14" s="13">
        <v>82</v>
      </c>
      <c r="I14" s="13">
        <v>83</v>
      </c>
      <c r="J14" s="13">
        <v>79</v>
      </c>
      <c r="K14" s="13">
        <v>87</v>
      </c>
      <c r="L14" s="41"/>
      <c r="M14" s="7">
        <f>+'Reported - New Web'!L19</f>
        <v>331</v>
      </c>
    </row>
    <row r="15" spans="1:13" ht="15.75">
      <c r="A15" s="96" t="s">
        <v>2</v>
      </c>
      <c r="B15" s="68"/>
      <c r="C15" s="7"/>
      <c r="D15" s="11">
        <f>+'Reported - New Web'!C20</f>
        <v>-12</v>
      </c>
      <c r="E15" s="68"/>
      <c r="F15" s="11">
        <f>+'Reported - New Web'!E20</f>
        <v>-13</v>
      </c>
      <c r="H15" s="11">
        <v>-2</v>
      </c>
      <c r="I15" s="11">
        <v>-3</v>
      </c>
      <c r="J15" s="11">
        <v>-3</v>
      </c>
      <c r="K15" s="11">
        <v>-3</v>
      </c>
      <c r="L15" s="68"/>
      <c r="M15" s="11">
        <f>+'Reported - New Web'!L20</f>
        <v>-11</v>
      </c>
    </row>
    <row r="16" spans="1:13" ht="15">
      <c r="A16" s="82" t="s">
        <v>40</v>
      </c>
      <c r="B16" s="7"/>
      <c r="C16" s="7"/>
      <c r="D16" s="7">
        <f>SUM(D10:D15)</f>
        <v>11937</v>
      </c>
      <c r="E16" s="7"/>
      <c r="F16" s="7">
        <f t="shared" ref="F16" si="0">SUM(F10:F15)</f>
        <v>12743</v>
      </c>
      <c r="H16" s="7">
        <f t="shared" ref="H16:K16" si="1">SUM(H10:H15)</f>
        <v>3187</v>
      </c>
      <c r="I16" s="7">
        <f t="shared" si="1"/>
        <v>3189</v>
      </c>
      <c r="J16" s="7">
        <f t="shared" si="1"/>
        <v>3165</v>
      </c>
      <c r="K16" s="7">
        <f t="shared" si="1"/>
        <v>3358</v>
      </c>
      <c r="L16" s="7"/>
      <c r="M16" s="7">
        <f t="shared" ref="M16" si="2">SUM(M10:M15)</f>
        <v>12899</v>
      </c>
    </row>
    <row r="17" spans="1:13" ht="15">
      <c r="A17" s="96" t="s">
        <v>59</v>
      </c>
      <c r="B17" s="7"/>
      <c r="C17" s="5"/>
      <c r="D17" s="11">
        <v>1133</v>
      </c>
      <c r="E17" s="5">
        <v>0</v>
      </c>
      <c r="F17" s="11">
        <v>1064</v>
      </c>
      <c r="H17" s="11">
        <v>167</v>
      </c>
      <c r="I17" s="11">
        <v>120</v>
      </c>
      <c r="J17" s="11">
        <v>51</v>
      </c>
      <c r="K17" s="11">
        <v>41</v>
      </c>
      <c r="L17" s="5"/>
      <c r="M17" s="11">
        <v>379</v>
      </c>
    </row>
    <row r="18" spans="1:13" ht="16.5" thickBot="1">
      <c r="A18" s="82" t="s">
        <v>60</v>
      </c>
      <c r="B18" s="7"/>
      <c r="C18" s="69"/>
      <c r="D18" s="70">
        <f t="shared" ref="D18" si="3">SUM(D16:D17)</f>
        <v>13070</v>
      </c>
      <c r="E18" s="69"/>
      <c r="F18" s="70">
        <f t="shared" ref="F18:K18" si="4">SUM(F16:F17)</f>
        <v>13807</v>
      </c>
      <c r="H18" s="70">
        <f t="shared" si="4"/>
        <v>3354</v>
      </c>
      <c r="I18" s="70">
        <f t="shared" si="4"/>
        <v>3309</v>
      </c>
      <c r="J18" s="70">
        <f t="shared" si="4"/>
        <v>3216</v>
      </c>
      <c r="K18" s="70">
        <f t="shared" si="4"/>
        <v>3399</v>
      </c>
      <c r="L18" s="68"/>
      <c r="M18" s="70">
        <f>SUM(M16:M17)</f>
        <v>13278</v>
      </c>
    </row>
    <row r="19" spans="1:13" ht="13.5" thickTop="1">
      <c r="L19" s="31"/>
    </row>
    <row r="20" spans="1:13" ht="25.5">
      <c r="A20" s="84" t="s">
        <v>61</v>
      </c>
      <c r="D20" s="92"/>
      <c r="E20" s="92"/>
      <c r="F20" s="92"/>
      <c r="H20" s="92"/>
      <c r="I20" s="92"/>
      <c r="J20" s="92"/>
      <c r="K20" s="92"/>
      <c r="L20" s="92"/>
      <c r="M20" s="92"/>
    </row>
    <row r="21" spans="1:13" ht="15.75">
      <c r="A21" s="84" t="s">
        <v>62</v>
      </c>
      <c r="B21" s="68"/>
      <c r="C21" s="68"/>
      <c r="D21" s="68">
        <v>1419</v>
      </c>
      <c r="E21" s="68"/>
      <c r="F21" s="68">
        <v>-705</v>
      </c>
      <c r="H21" s="68">
        <v>386</v>
      </c>
      <c r="I21" s="68">
        <v>1318</v>
      </c>
      <c r="J21" s="68">
        <v>390</v>
      </c>
      <c r="K21" s="68">
        <v>557</v>
      </c>
      <c r="L21" s="68"/>
      <c r="M21" s="68">
        <v>2651</v>
      </c>
    </row>
    <row r="22" spans="1:13" ht="15">
      <c r="A22" t="s">
        <v>86</v>
      </c>
      <c r="B22" s="7"/>
      <c r="C22" s="7"/>
      <c r="D22" s="7"/>
      <c r="E22" s="7"/>
      <c r="F22" s="7"/>
      <c r="H22" s="7"/>
      <c r="I22" s="7"/>
      <c r="J22" s="7"/>
      <c r="K22" s="7"/>
      <c r="L22" s="7"/>
      <c r="M22" s="7"/>
    </row>
    <row r="23" spans="1:13" ht="15">
      <c r="A23" s="83" t="s">
        <v>57</v>
      </c>
      <c r="B23" s="7"/>
      <c r="C23" s="7"/>
      <c r="D23" s="7">
        <v>0</v>
      </c>
      <c r="E23" s="7"/>
      <c r="F23" s="7">
        <v>3010</v>
      </c>
      <c r="H23" s="7">
        <v>0</v>
      </c>
      <c r="I23" s="7">
        <v>0</v>
      </c>
      <c r="J23" s="7">
        <v>0</v>
      </c>
      <c r="K23" s="7">
        <v>0</v>
      </c>
      <c r="L23" s="7"/>
      <c r="M23" s="7">
        <v>0</v>
      </c>
    </row>
    <row r="24" spans="1:13" ht="15">
      <c r="A24" s="83" t="s">
        <v>41</v>
      </c>
      <c r="B24" s="7"/>
      <c r="C24" s="7"/>
      <c r="D24" s="7">
        <v>545</v>
      </c>
      <c r="E24" s="7"/>
      <c r="F24" s="7">
        <v>612</v>
      </c>
      <c r="H24" s="7">
        <v>152</v>
      </c>
      <c r="I24" s="7">
        <v>149</v>
      </c>
      <c r="J24" s="7">
        <v>158</v>
      </c>
      <c r="K24" s="7">
        <v>160</v>
      </c>
      <c r="L24" s="7"/>
      <c r="M24" s="7">
        <v>619</v>
      </c>
    </row>
    <row r="25" spans="1:13" ht="15">
      <c r="A25" s="85" t="s">
        <v>11</v>
      </c>
      <c r="B25" s="7"/>
      <c r="C25" s="7"/>
      <c r="D25" s="7">
        <v>463</v>
      </c>
      <c r="E25" s="7"/>
      <c r="F25" s="7">
        <v>215</v>
      </c>
      <c r="H25" s="7">
        <v>0</v>
      </c>
      <c r="I25" s="7">
        <v>0</v>
      </c>
      <c r="J25" s="7">
        <v>0</v>
      </c>
      <c r="K25" s="7">
        <v>0</v>
      </c>
      <c r="L25" s="7"/>
      <c r="M25" s="7">
        <v>0</v>
      </c>
    </row>
    <row r="26" spans="1:13" ht="15">
      <c r="A26" s="86" t="s">
        <v>42</v>
      </c>
      <c r="B26" s="7"/>
      <c r="C26" s="7"/>
      <c r="D26" s="7">
        <v>117</v>
      </c>
      <c r="E26" s="7"/>
      <c r="F26" s="7">
        <v>-149</v>
      </c>
      <c r="H26" s="7">
        <v>30</v>
      </c>
      <c r="I26" s="7">
        <v>-43</v>
      </c>
      <c r="J26" s="7">
        <v>34</v>
      </c>
      <c r="K26" s="7">
        <v>15</v>
      </c>
      <c r="L26" s="7"/>
      <c r="M26" s="7">
        <v>36</v>
      </c>
    </row>
    <row r="27" spans="1:13" ht="15">
      <c r="A27" s="85" t="s">
        <v>87</v>
      </c>
      <c r="B27" s="7"/>
      <c r="C27" s="7"/>
      <c r="D27" s="7">
        <v>16</v>
      </c>
      <c r="E27" s="5"/>
      <c r="F27" s="7">
        <v>-204</v>
      </c>
      <c r="H27" s="7">
        <v>-22</v>
      </c>
      <c r="I27" s="7">
        <v>-798</v>
      </c>
      <c r="J27" s="7">
        <v>18</v>
      </c>
      <c r="K27" s="7">
        <v>-81</v>
      </c>
      <c r="L27" s="7"/>
      <c r="M27" s="7">
        <v>-883</v>
      </c>
    </row>
    <row r="28" spans="1:13" ht="15">
      <c r="A28" s="83" t="s">
        <v>88</v>
      </c>
      <c r="B28" s="7"/>
      <c r="C28" s="7"/>
      <c r="D28" s="7">
        <v>-243</v>
      </c>
      <c r="E28" s="5"/>
      <c r="F28" s="7">
        <v>-238</v>
      </c>
      <c r="H28" s="7">
        <v>-1</v>
      </c>
      <c r="I28" s="7">
        <v>-9</v>
      </c>
      <c r="J28" s="7">
        <v>-15</v>
      </c>
      <c r="K28" s="7">
        <v>7</v>
      </c>
      <c r="L28" s="7"/>
      <c r="M28" s="7">
        <v>-18</v>
      </c>
    </row>
    <row r="29" spans="1:13" ht="15.75">
      <c r="A29" s="87" t="s">
        <v>43</v>
      </c>
      <c r="B29" s="7"/>
      <c r="C29" s="69"/>
      <c r="D29" s="103">
        <f>SUM(D21:D28)</f>
        <v>2317</v>
      </c>
      <c r="E29" s="69"/>
      <c r="F29" s="103">
        <f>SUM(F21:F28)</f>
        <v>2541</v>
      </c>
      <c r="H29" s="103">
        <f>SUM(H21:H28)</f>
        <v>545</v>
      </c>
      <c r="I29" s="103">
        <f>SUM(I21:I28)</f>
        <v>617</v>
      </c>
      <c r="J29" s="103">
        <f>SUM(J21:J28)</f>
        <v>585</v>
      </c>
      <c r="K29" s="103">
        <f>SUM(K21:K28)</f>
        <v>658</v>
      </c>
      <c r="L29" s="69"/>
      <c r="M29" s="103">
        <f>SUM(M21:M28)</f>
        <v>2405</v>
      </c>
    </row>
    <row r="30" spans="1:13">
      <c r="A30" t="s">
        <v>3</v>
      </c>
      <c r="B30" s="59"/>
      <c r="C30" s="59"/>
      <c r="E30" s="59"/>
      <c r="L30" s="88"/>
    </row>
    <row r="31" spans="1:13" ht="15">
      <c r="A31" s="85" t="s">
        <v>11</v>
      </c>
      <c r="B31" s="5"/>
      <c r="C31" s="5"/>
      <c r="D31" s="7">
        <v>-463</v>
      </c>
      <c r="E31" s="5"/>
      <c r="F31" s="7">
        <v>-215</v>
      </c>
      <c r="H31" s="7">
        <v>0</v>
      </c>
      <c r="I31" s="7">
        <v>0</v>
      </c>
      <c r="J31" s="7">
        <v>0</v>
      </c>
      <c r="K31" s="7">
        <v>0</v>
      </c>
      <c r="L31" s="5"/>
      <c r="M31" s="7">
        <f t="shared" ref="M31" si="5">-M25</f>
        <v>0</v>
      </c>
    </row>
    <row r="32" spans="1:13" ht="15" customHeight="1">
      <c r="A32" s="85" t="s">
        <v>89</v>
      </c>
      <c r="B32" s="5"/>
      <c r="C32" s="5"/>
      <c r="D32" s="7">
        <f>-'Reported - New Web'!C38</f>
        <v>955</v>
      </c>
      <c r="E32" s="5"/>
      <c r="F32" s="7">
        <f>-'Reported - New Web'!E38</f>
        <v>1042</v>
      </c>
      <c r="H32" s="7">
        <v>280</v>
      </c>
      <c r="I32" s="7">
        <v>275</v>
      </c>
      <c r="J32" s="7">
        <v>279</v>
      </c>
      <c r="K32" s="7">
        <v>290</v>
      </c>
      <c r="L32" s="5"/>
      <c r="M32" s="7">
        <f>-'Reported - New Web'!L38</f>
        <v>1124</v>
      </c>
    </row>
    <row r="33" spans="1:13" ht="15.75">
      <c r="A33" s="87" t="s">
        <v>17</v>
      </c>
      <c r="B33" s="5"/>
      <c r="C33" s="69"/>
      <c r="D33" s="67">
        <f t="shared" ref="D33" si="6">+D29+D31+D32</f>
        <v>2809</v>
      </c>
      <c r="E33" s="69"/>
      <c r="F33" s="67">
        <f t="shared" ref="F33" si="7">+F29+F31+F32</f>
        <v>3368</v>
      </c>
      <c r="H33" s="67">
        <f t="shared" ref="H33:K33" si="8">+H29+H31+H32</f>
        <v>825</v>
      </c>
      <c r="I33" s="67">
        <f t="shared" si="8"/>
        <v>892</v>
      </c>
      <c r="J33" s="67">
        <f t="shared" si="8"/>
        <v>864</v>
      </c>
      <c r="K33" s="67">
        <f t="shared" si="8"/>
        <v>948</v>
      </c>
      <c r="L33" s="69"/>
      <c r="M33" s="67">
        <f t="shared" ref="M33" si="9">+M29+M31+M32</f>
        <v>3529</v>
      </c>
    </row>
    <row r="34" spans="1:13" ht="15">
      <c r="A34" s="87" t="s">
        <v>44</v>
      </c>
      <c r="B34" s="24"/>
      <c r="C34" s="24"/>
      <c r="D34" s="23">
        <f>+D29/D16</f>
        <v>0.19410237077992795</v>
      </c>
      <c r="E34" s="24"/>
      <c r="F34" s="23">
        <f t="shared" ref="F34" si="10">+F29/F16</f>
        <v>0.19940359413011066</v>
      </c>
      <c r="H34" s="23">
        <f t="shared" ref="H34:K34" si="11">+H29/H16</f>
        <v>0.17100721681832445</v>
      </c>
      <c r="I34" s="23">
        <f t="shared" si="11"/>
        <v>0.19347757917842584</v>
      </c>
      <c r="J34" s="23">
        <f t="shared" si="11"/>
        <v>0.18483412322274881</v>
      </c>
      <c r="K34" s="23">
        <f t="shared" si="11"/>
        <v>0.19594997022036928</v>
      </c>
      <c r="L34" s="24"/>
      <c r="M34" s="23">
        <f t="shared" ref="M34" si="12">+M29/M16</f>
        <v>0.18644856190402356</v>
      </c>
    </row>
    <row r="35" spans="1:13" ht="15">
      <c r="A35" s="87" t="s">
        <v>45</v>
      </c>
      <c r="B35" s="24"/>
      <c r="C35" s="24"/>
      <c r="D35" s="23">
        <f>+D33/D16</f>
        <v>0.2353187568065678</v>
      </c>
      <c r="E35" s="24"/>
      <c r="F35" s="23">
        <f t="shared" ref="F35" si="13">+F33/F16</f>
        <v>0.26430196970885977</v>
      </c>
      <c r="H35" s="23">
        <f t="shared" ref="H35:K35" si="14">+H33/H16</f>
        <v>0.25886413555067461</v>
      </c>
      <c r="I35" s="23">
        <f t="shared" si="14"/>
        <v>0.279711508309815</v>
      </c>
      <c r="J35" s="23">
        <f t="shared" si="14"/>
        <v>0.27298578199052131</v>
      </c>
      <c r="K35" s="23">
        <f t="shared" si="14"/>
        <v>0.2823108993448481</v>
      </c>
      <c r="L35" s="24"/>
      <c r="M35" s="23">
        <f t="shared" ref="M35" si="15">+M33/M16</f>
        <v>0.27358709977517637</v>
      </c>
    </row>
    <row r="36" spans="1:13">
      <c r="C36" s="59"/>
      <c r="E36" s="59"/>
      <c r="L36" s="88"/>
    </row>
    <row r="37" spans="1:13" s="31" customFormat="1" ht="25.5">
      <c r="A37" s="97" t="s">
        <v>90</v>
      </c>
      <c r="C37" s="88"/>
      <c r="E37" s="88"/>
      <c r="L37" s="88"/>
    </row>
    <row r="38" spans="1:13" s="31" customFormat="1" ht="15.75">
      <c r="A38" s="98" t="s">
        <v>91</v>
      </c>
      <c r="B38" s="7"/>
      <c r="C38" s="68"/>
      <c r="D38" s="68">
        <v>909</v>
      </c>
      <c r="E38" s="68"/>
      <c r="F38" s="68">
        <v>-1390</v>
      </c>
      <c r="H38" s="68">
        <v>314</v>
      </c>
      <c r="I38" s="68">
        <v>922</v>
      </c>
      <c r="J38" s="68">
        <v>462</v>
      </c>
      <c r="K38" s="68">
        <v>372</v>
      </c>
      <c r="L38" s="68"/>
      <c r="M38" s="68">
        <v>2070</v>
      </c>
    </row>
    <row r="39" spans="1:13" s="31" customFormat="1" ht="15">
      <c r="A39" s="99" t="s">
        <v>86</v>
      </c>
      <c r="B39" s="7"/>
      <c r="C39" s="7"/>
      <c r="D39" s="7"/>
      <c r="E39" s="7"/>
      <c r="F39" s="7"/>
      <c r="H39" s="7"/>
      <c r="I39" s="7"/>
      <c r="J39" s="7"/>
      <c r="K39" s="7"/>
      <c r="L39" s="7"/>
      <c r="M39" s="7"/>
    </row>
    <row r="40" spans="1:13" s="31" customFormat="1" ht="15">
      <c r="A40" s="100" t="s">
        <v>57</v>
      </c>
      <c r="B40" s="7"/>
      <c r="C40" s="7"/>
      <c r="D40" s="7">
        <v>0</v>
      </c>
      <c r="E40" s="7"/>
      <c r="F40" s="7">
        <v>3010</v>
      </c>
      <c r="H40" s="7">
        <v>0</v>
      </c>
      <c r="I40" s="7">
        <v>0</v>
      </c>
      <c r="J40" s="7">
        <v>0</v>
      </c>
      <c r="K40" s="7">
        <v>0</v>
      </c>
      <c r="L40" s="7"/>
      <c r="M40" s="7">
        <f t="shared" ref="M40" si="16">+M23</f>
        <v>0</v>
      </c>
    </row>
    <row r="41" spans="1:13" s="31" customFormat="1" ht="15">
      <c r="A41" s="100" t="s">
        <v>58</v>
      </c>
      <c r="B41" s="7"/>
      <c r="C41" s="7"/>
      <c r="D41" s="7">
        <v>0</v>
      </c>
      <c r="E41" s="7"/>
      <c r="F41" s="7">
        <v>-40</v>
      </c>
      <c r="H41" s="7">
        <v>0</v>
      </c>
      <c r="I41" s="7">
        <v>0</v>
      </c>
      <c r="J41" s="7">
        <v>0</v>
      </c>
      <c r="K41" s="7">
        <v>0</v>
      </c>
      <c r="L41" s="7"/>
      <c r="M41" s="7">
        <v>0</v>
      </c>
    </row>
    <row r="42" spans="1:13" s="31" customFormat="1" ht="15">
      <c r="A42" s="100" t="s">
        <v>88</v>
      </c>
      <c r="B42" s="7"/>
      <c r="C42" s="7"/>
      <c r="D42" s="7">
        <f>+D28</f>
        <v>-243</v>
      </c>
      <c r="E42" s="7"/>
      <c r="F42" s="7">
        <f t="shared" ref="F42" si="17">+F28</f>
        <v>-238</v>
      </c>
      <c r="H42" s="7">
        <v>-1</v>
      </c>
      <c r="I42" s="7">
        <v>-9</v>
      </c>
      <c r="J42" s="7">
        <v>-15</v>
      </c>
      <c r="K42" s="7">
        <v>7</v>
      </c>
      <c r="L42" s="7"/>
      <c r="M42" s="7">
        <f t="shared" ref="M42" si="18">+M28</f>
        <v>-18</v>
      </c>
    </row>
    <row r="43" spans="1:13" s="31" customFormat="1" ht="15">
      <c r="A43" s="100" t="s">
        <v>42</v>
      </c>
      <c r="B43" s="7"/>
      <c r="C43" s="7"/>
      <c r="D43" s="7">
        <v>117</v>
      </c>
      <c r="E43" s="7"/>
      <c r="F43" s="7">
        <v>-149</v>
      </c>
      <c r="H43" s="7">
        <v>30</v>
      </c>
      <c r="I43" s="7">
        <v>-43</v>
      </c>
      <c r="J43" s="7">
        <v>34</v>
      </c>
      <c r="K43" s="7">
        <v>15</v>
      </c>
      <c r="L43" s="7"/>
      <c r="M43" s="7">
        <f t="shared" ref="M43" si="19">+M26</f>
        <v>36</v>
      </c>
    </row>
    <row r="44" spans="1:13" s="31" customFormat="1" ht="15">
      <c r="A44" s="100" t="s">
        <v>87</v>
      </c>
      <c r="B44" s="7"/>
      <c r="C44" s="7"/>
      <c r="D44" s="7">
        <v>16</v>
      </c>
      <c r="E44" s="7"/>
      <c r="F44" s="7">
        <v>-204</v>
      </c>
      <c r="H44" s="7">
        <v>-22</v>
      </c>
      <c r="I44" s="7">
        <v>-798</v>
      </c>
      <c r="J44" s="7">
        <v>18</v>
      </c>
      <c r="K44" s="7">
        <v>-81</v>
      </c>
      <c r="L44" s="7"/>
      <c r="M44" s="7">
        <f t="shared" ref="M44" si="20">+M27</f>
        <v>-883</v>
      </c>
    </row>
    <row r="45" spans="1:13" s="31" customFormat="1" ht="15">
      <c r="A45" s="100" t="s">
        <v>92</v>
      </c>
      <c r="B45" s="7"/>
      <c r="C45" s="7"/>
      <c r="D45" s="7">
        <v>-28</v>
      </c>
      <c r="E45" s="7"/>
      <c r="F45" s="7">
        <v>15</v>
      </c>
      <c r="H45" s="7">
        <v>-30</v>
      </c>
      <c r="I45" s="7">
        <v>16</v>
      </c>
      <c r="J45" s="7">
        <v>-30</v>
      </c>
      <c r="K45" s="7">
        <v>4</v>
      </c>
      <c r="L45" s="7"/>
      <c r="M45" s="7">
        <v>-40</v>
      </c>
    </row>
    <row r="46" spans="1:13" s="31" customFormat="1" ht="15">
      <c r="A46" s="100" t="s">
        <v>93</v>
      </c>
      <c r="B46" s="7"/>
      <c r="C46" s="7"/>
      <c r="D46" s="7">
        <v>-8</v>
      </c>
      <c r="E46" s="7"/>
      <c r="F46" s="7">
        <v>-13</v>
      </c>
      <c r="H46" s="7">
        <v>7</v>
      </c>
      <c r="I46" s="7">
        <v>-4</v>
      </c>
      <c r="J46" s="7">
        <v>-2</v>
      </c>
      <c r="K46" s="7">
        <v>22</v>
      </c>
      <c r="L46" s="7"/>
      <c r="M46" s="7">
        <v>23</v>
      </c>
    </row>
    <row r="47" spans="1:13" s="31" customFormat="1" ht="15">
      <c r="A47" s="100" t="s">
        <v>46</v>
      </c>
      <c r="B47" s="7"/>
      <c r="C47" s="7"/>
      <c r="D47" s="7">
        <v>21</v>
      </c>
      <c r="E47" s="7"/>
      <c r="F47" s="7">
        <v>143</v>
      </c>
      <c r="H47" s="7">
        <v>-66</v>
      </c>
      <c r="I47" s="7">
        <v>253</v>
      </c>
      <c r="J47" s="7">
        <v>-3</v>
      </c>
      <c r="K47" s="7">
        <v>24</v>
      </c>
      <c r="L47" s="7"/>
      <c r="M47" s="7">
        <v>208</v>
      </c>
    </row>
    <row r="48" spans="1:13" s="31" customFormat="1" ht="15">
      <c r="A48" s="101" t="s">
        <v>47</v>
      </c>
      <c r="B48" s="7"/>
      <c r="C48" s="7"/>
      <c r="D48" s="7">
        <v>0</v>
      </c>
      <c r="E48" s="5"/>
      <c r="F48" s="7">
        <v>0</v>
      </c>
      <c r="H48" s="7">
        <v>6</v>
      </c>
      <c r="I48" s="7">
        <v>46</v>
      </c>
      <c r="J48" s="7">
        <v>-60</v>
      </c>
      <c r="K48" s="7">
        <v>8</v>
      </c>
      <c r="L48" s="7"/>
      <c r="M48" s="7">
        <v>0</v>
      </c>
    </row>
    <row r="49" spans="1:13" s="31" customFormat="1" ht="15">
      <c r="A49" s="101" t="s">
        <v>48</v>
      </c>
      <c r="B49" s="7"/>
      <c r="C49" s="7"/>
      <c r="D49" s="7">
        <v>-47</v>
      </c>
      <c r="E49" s="5"/>
      <c r="F49" s="7">
        <v>-105</v>
      </c>
      <c r="H49" s="7">
        <v>-26</v>
      </c>
      <c r="I49" s="7">
        <v>-83</v>
      </c>
      <c r="J49" s="7">
        <v>-115</v>
      </c>
      <c r="K49" s="7">
        <v>-30</v>
      </c>
      <c r="L49" s="5"/>
      <c r="M49" s="7">
        <v>-254</v>
      </c>
    </row>
    <row r="50" spans="1:13" s="31" customFormat="1" ht="15">
      <c r="A50" s="101" t="s">
        <v>41</v>
      </c>
      <c r="B50" s="7"/>
      <c r="C50" s="7"/>
      <c r="D50" s="7">
        <v>545</v>
      </c>
      <c r="E50" s="5"/>
      <c r="F50" s="7">
        <v>612</v>
      </c>
      <c r="H50" s="7">
        <v>152</v>
      </c>
      <c r="I50" s="7">
        <v>149</v>
      </c>
      <c r="J50" s="7">
        <v>158</v>
      </c>
      <c r="K50" s="7">
        <v>160</v>
      </c>
      <c r="L50" s="7"/>
      <c r="M50" s="7">
        <f t="shared" ref="M50" si="21">+M24</f>
        <v>619</v>
      </c>
    </row>
    <row r="51" spans="1:13" s="31" customFormat="1" ht="15">
      <c r="A51" s="99" t="s">
        <v>49</v>
      </c>
      <c r="B51" s="7"/>
      <c r="C51" s="5"/>
      <c r="D51" s="7">
        <v>0</v>
      </c>
      <c r="E51" s="5"/>
      <c r="F51" s="7">
        <v>-4</v>
      </c>
      <c r="H51" s="7">
        <v>2</v>
      </c>
      <c r="I51" s="7">
        <v>1</v>
      </c>
      <c r="J51" s="7">
        <v>-2</v>
      </c>
      <c r="K51" s="7">
        <v>-3</v>
      </c>
      <c r="L51" s="5"/>
      <c r="M51" s="7">
        <v>-2</v>
      </c>
    </row>
    <row r="52" spans="1:13" s="31" customFormat="1" ht="15">
      <c r="A52" s="99" t="s">
        <v>4</v>
      </c>
      <c r="B52" s="7"/>
      <c r="C52" s="5"/>
      <c r="D52" s="7">
        <v>-3</v>
      </c>
      <c r="E52" s="5"/>
      <c r="F52" s="7">
        <v>-3</v>
      </c>
      <c r="H52" s="7">
        <v>-1</v>
      </c>
      <c r="I52" s="7">
        <v>-1</v>
      </c>
      <c r="J52" s="7">
        <v>0</v>
      </c>
      <c r="K52" s="7">
        <v>-1</v>
      </c>
      <c r="L52" s="5"/>
      <c r="M52" s="7">
        <v>-3</v>
      </c>
    </row>
    <row r="53" spans="1:13" s="31" customFormat="1" ht="16.5" thickBot="1">
      <c r="A53" s="98" t="s">
        <v>50</v>
      </c>
      <c r="B53" s="7"/>
      <c r="C53" s="69"/>
      <c r="D53" s="70">
        <f>SUM(D38:D52)</f>
        <v>1279</v>
      </c>
      <c r="E53" s="69"/>
      <c r="F53" s="70">
        <f t="shared" ref="F53" si="22">+SUM(F38:F52)</f>
        <v>1634</v>
      </c>
      <c r="H53" s="70">
        <f>SUM(H38:H52)</f>
        <v>365</v>
      </c>
      <c r="I53" s="70">
        <f t="shared" ref="I53:K53" si="23">SUM(I38:I52)</f>
        <v>449</v>
      </c>
      <c r="J53" s="70">
        <f t="shared" si="23"/>
        <v>445</v>
      </c>
      <c r="K53" s="70">
        <f t="shared" si="23"/>
        <v>497</v>
      </c>
      <c r="L53" s="69"/>
      <c r="M53" s="70">
        <f>+SUM(M38:M52)</f>
        <v>1756</v>
      </c>
    </row>
    <row r="54" spans="1:13" s="31" customFormat="1" ht="17.25" thickTop="1" thickBot="1">
      <c r="A54" s="98" t="s">
        <v>51</v>
      </c>
      <c r="B54" s="7"/>
      <c r="C54" s="69"/>
      <c r="D54" s="104">
        <f>ROUND(+D53/D56,2)</f>
        <v>1.53</v>
      </c>
      <c r="E54" s="69"/>
      <c r="F54" s="104">
        <f t="shared" ref="F54" si="24">ROUND(+F53/F56,2)</f>
        <v>1.96</v>
      </c>
      <c r="H54" s="104">
        <f>ROUND(+H53/H56,2)</f>
        <v>0.44</v>
      </c>
      <c r="I54" s="104">
        <f t="shared" ref="I54:K54" si="25">ROUND(+I53/I56,2)</f>
        <v>0.54</v>
      </c>
      <c r="J54" s="104">
        <f t="shared" si="25"/>
        <v>0.54</v>
      </c>
      <c r="K54" s="104">
        <f t="shared" si="25"/>
        <v>0.6</v>
      </c>
      <c r="L54" s="69"/>
      <c r="M54" s="104">
        <f t="shared" ref="M54" si="26">ROUND(+M53/M56,2)</f>
        <v>2.12</v>
      </c>
    </row>
    <row r="55" spans="1:13" s="31" customFormat="1" ht="15.75" thickTop="1">
      <c r="A55" s="99"/>
      <c r="B55" s="7"/>
      <c r="C55" s="7"/>
      <c r="D55" s="7"/>
      <c r="E55" s="5"/>
      <c r="F55" s="7"/>
      <c r="H55" s="7"/>
      <c r="I55" s="7"/>
      <c r="J55" s="7"/>
      <c r="K55" s="7"/>
      <c r="L55" s="5"/>
      <c r="M55" s="7"/>
    </row>
    <row r="56" spans="1:13" s="31" customFormat="1" ht="15">
      <c r="A56" s="101" t="s">
        <v>52</v>
      </c>
      <c r="B56" s="7"/>
      <c r="C56" s="15"/>
      <c r="D56" s="44">
        <f>+'Reported - New Web'!C60</f>
        <v>836.4</v>
      </c>
      <c r="E56" s="15"/>
      <c r="F56" s="44">
        <f>+'Reported - New Web'!E60</f>
        <v>835.8</v>
      </c>
      <c r="H56" s="44">
        <f>+'Reported - New Web'!G60</f>
        <v>830.3</v>
      </c>
      <c r="I56" s="44">
        <f>+'Reported - New Web'!H60</f>
        <v>830.7</v>
      </c>
      <c r="J56" s="44">
        <f>+'Reported - New Web'!I60</f>
        <v>828.4</v>
      </c>
      <c r="K56" s="44">
        <f>+'Reported - New Web'!J60</f>
        <v>829.2</v>
      </c>
      <c r="L56" s="44"/>
      <c r="M56" s="44">
        <f>+'Reported - New Web'!L60</f>
        <v>829.6</v>
      </c>
    </row>
    <row r="57" spans="1:13" ht="15">
      <c r="B57" s="7"/>
      <c r="C57" s="19"/>
      <c r="D57" s="44"/>
      <c r="E57" s="44"/>
      <c r="F57" s="44"/>
      <c r="H57" s="44"/>
      <c r="I57" s="15"/>
      <c r="J57" s="44"/>
      <c r="K57" s="44"/>
      <c r="L57" s="44"/>
      <c r="M57" s="44"/>
    </row>
    <row r="58" spans="1:13">
      <c r="A58" s="87" t="s">
        <v>94</v>
      </c>
      <c r="L58" s="31"/>
    </row>
    <row r="59" spans="1:13" ht="15.75">
      <c r="A59" s="89" t="s">
        <v>98</v>
      </c>
      <c r="B59" s="82"/>
      <c r="C59" s="82"/>
      <c r="D59" s="68">
        <v>933</v>
      </c>
      <c r="E59" s="82"/>
      <c r="F59" s="68">
        <v>-1396</v>
      </c>
      <c r="H59" s="68">
        <v>328</v>
      </c>
      <c r="I59" s="68">
        <v>936</v>
      </c>
      <c r="J59" s="68">
        <v>472</v>
      </c>
      <c r="K59" s="68">
        <v>385</v>
      </c>
      <c r="L59" s="90"/>
      <c r="M59" s="68">
        <v>2121</v>
      </c>
    </row>
    <row r="60" spans="1:13" ht="15">
      <c r="A60" s="83" t="s">
        <v>86</v>
      </c>
      <c r="D60" s="7"/>
      <c r="F60" s="7"/>
      <c r="L60" s="31"/>
      <c r="M60" s="7"/>
    </row>
    <row r="61" spans="1:13" ht="15">
      <c r="A61" s="91" t="s">
        <v>95</v>
      </c>
      <c r="D61" s="7">
        <v>139</v>
      </c>
      <c r="F61" s="7">
        <v>293</v>
      </c>
      <c r="H61" s="7">
        <v>-33</v>
      </c>
      <c r="I61" s="7">
        <v>279</v>
      </c>
      <c r="J61" s="7">
        <v>-140</v>
      </c>
      <c r="K61" s="7">
        <v>51</v>
      </c>
      <c r="L61" s="31"/>
      <c r="M61" s="7">
        <v>157</v>
      </c>
    </row>
    <row r="62" spans="1:13" ht="15">
      <c r="A62" s="91" t="s">
        <v>96</v>
      </c>
      <c r="D62" s="7">
        <v>-28</v>
      </c>
      <c r="F62" s="7">
        <v>15</v>
      </c>
      <c r="H62" s="7">
        <v>-30</v>
      </c>
      <c r="I62" s="7">
        <v>16</v>
      </c>
      <c r="J62" s="7">
        <v>-30</v>
      </c>
      <c r="K62" s="7">
        <v>4</v>
      </c>
      <c r="L62" s="31"/>
      <c r="M62" s="7">
        <f t="shared" ref="M62" si="27">+M45</f>
        <v>-40</v>
      </c>
    </row>
    <row r="63" spans="1:13" ht="15">
      <c r="A63" s="91" t="s">
        <v>53</v>
      </c>
      <c r="D63" s="7">
        <v>383</v>
      </c>
      <c r="F63" s="7">
        <v>396</v>
      </c>
      <c r="H63" s="7">
        <v>114</v>
      </c>
      <c r="I63" s="7">
        <v>91</v>
      </c>
      <c r="J63" s="7">
        <v>90</v>
      </c>
      <c r="K63" s="7">
        <v>95</v>
      </c>
      <c r="L63" s="31"/>
      <c r="M63" s="7">
        <v>390</v>
      </c>
    </row>
    <row r="64" spans="1:13" ht="15">
      <c r="A64" s="91" t="s">
        <v>41</v>
      </c>
      <c r="D64" s="7">
        <v>545</v>
      </c>
      <c r="F64" s="7">
        <v>612</v>
      </c>
      <c r="H64" s="7">
        <v>152</v>
      </c>
      <c r="I64" s="7">
        <v>149</v>
      </c>
      <c r="J64" s="7">
        <v>158</v>
      </c>
      <c r="K64" s="7">
        <v>160</v>
      </c>
      <c r="L64" s="31"/>
      <c r="M64" s="7">
        <f t="shared" ref="M64" si="28">+M50</f>
        <v>619</v>
      </c>
    </row>
    <row r="65" spans="1:13" ht="15">
      <c r="A65" s="91" t="s">
        <v>54</v>
      </c>
      <c r="D65" s="7">
        <v>572</v>
      </c>
      <c r="F65" s="7">
        <v>659</v>
      </c>
      <c r="H65" s="7">
        <v>175</v>
      </c>
      <c r="I65" s="7">
        <v>166</v>
      </c>
      <c r="J65" s="7">
        <v>175</v>
      </c>
      <c r="K65" s="7">
        <v>184</v>
      </c>
      <c r="L65" s="31"/>
      <c r="M65" s="7">
        <v>700</v>
      </c>
    </row>
    <row r="66" spans="1:13" ht="15">
      <c r="A66" s="91" t="s">
        <v>55</v>
      </c>
      <c r="D66" s="11">
        <v>457</v>
      </c>
      <c r="F66" s="11">
        <v>438</v>
      </c>
      <c r="H66" s="11">
        <v>110</v>
      </c>
      <c r="I66" s="11">
        <v>109</v>
      </c>
      <c r="J66" s="11">
        <v>104</v>
      </c>
      <c r="K66" s="11">
        <v>106</v>
      </c>
      <c r="L66" s="31"/>
      <c r="M66" s="11">
        <v>429</v>
      </c>
    </row>
    <row r="67" spans="1:13" ht="15">
      <c r="A67" s="89" t="s">
        <v>56</v>
      </c>
      <c r="D67" s="7">
        <f>SUM(D59:D66)</f>
        <v>3001</v>
      </c>
      <c r="F67" s="7">
        <f>SUM(F59:F66)</f>
        <v>1017</v>
      </c>
      <c r="H67" s="7">
        <f t="shared" ref="H67:K67" si="29">SUM(H59:H66)</f>
        <v>816</v>
      </c>
      <c r="I67" s="7">
        <f t="shared" si="29"/>
        <v>1746</v>
      </c>
      <c r="J67" s="7">
        <f t="shared" si="29"/>
        <v>829</v>
      </c>
      <c r="K67" s="7">
        <f t="shared" si="29"/>
        <v>985</v>
      </c>
      <c r="L67" s="31"/>
      <c r="M67" s="7">
        <f t="shared" ref="M67" si="30">SUM(M59:M66)</f>
        <v>4376</v>
      </c>
    </row>
    <row r="68" spans="1:13">
      <c r="A68" s="83" t="s">
        <v>86</v>
      </c>
      <c r="L68" s="31"/>
    </row>
    <row r="69" spans="1:13" ht="15">
      <c r="A69" s="91" t="s">
        <v>93</v>
      </c>
      <c r="D69" s="7">
        <v>-8</v>
      </c>
      <c r="F69" s="7">
        <v>-13</v>
      </c>
      <c r="H69" s="7">
        <v>7</v>
      </c>
      <c r="I69" s="7">
        <v>-4</v>
      </c>
      <c r="J69" s="7">
        <v>-2</v>
      </c>
      <c r="K69" s="7">
        <v>22</v>
      </c>
      <c r="L69" s="31"/>
      <c r="M69" s="7">
        <f t="shared" ref="M69" si="31">+M46</f>
        <v>23</v>
      </c>
    </row>
    <row r="70" spans="1:13" ht="15">
      <c r="A70" s="91" t="s">
        <v>87</v>
      </c>
      <c r="D70" s="7">
        <v>16</v>
      </c>
      <c r="F70" s="7">
        <v>-204</v>
      </c>
      <c r="H70" s="7">
        <v>-22</v>
      </c>
      <c r="I70" s="7">
        <v>-798</v>
      </c>
      <c r="J70" s="7">
        <v>18</v>
      </c>
      <c r="K70" s="7">
        <v>-81</v>
      </c>
      <c r="L70" s="31"/>
      <c r="M70" s="7">
        <f t="shared" ref="M70" si="32">+M44</f>
        <v>-883</v>
      </c>
    </row>
    <row r="71" spans="1:13" ht="15">
      <c r="A71" s="91" t="s">
        <v>57</v>
      </c>
      <c r="D71" s="7">
        <v>0</v>
      </c>
      <c r="F71" s="7">
        <v>3010</v>
      </c>
      <c r="H71" s="7">
        <v>0</v>
      </c>
      <c r="I71" s="7">
        <v>0</v>
      </c>
      <c r="J71" s="7">
        <v>0</v>
      </c>
      <c r="K71" s="7">
        <v>0</v>
      </c>
      <c r="L71" s="31"/>
      <c r="M71" s="7">
        <v>0</v>
      </c>
    </row>
    <row r="72" spans="1:13" ht="15">
      <c r="A72" s="91" t="s">
        <v>42</v>
      </c>
      <c r="D72" s="7">
        <v>117</v>
      </c>
      <c r="F72" s="7">
        <v>-149</v>
      </c>
      <c r="H72" s="7">
        <v>30</v>
      </c>
      <c r="I72" s="7">
        <v>-43</v>
      </c>
      <c r="J72" s="7">
        <v>34</v>
      </c>
      <c r="K72" s="7">
        <v>15</v>
      </c>
      <c r="L72" s="31"/>
      <c r="M72" s="7">
        <f t="shared" ref="M72" si="33">+M43</f>
        <v>36</v>
      </c>
    </row>
    <row r="73" spans="1:13" ht="15">
      <c r="A73" s="91" t="s">
        <v>97</v>
      </c>
      <c r="D73" s="7">
        <v>-317</v>
      </c>
      <c r="F73" s="7">
        <v>-293</v>
      </c>
      <c r="H73" s="7">
        <v>-6</v>
      </c>
      <c r="I73" s="7">
        <v>-9</v>
      </c>
      <c r="J73" s="7">
        <v>-15</v>
      </c>
      <c r="K73" s="7">
        <v>7</v>
      </c>
      <c r="L73" s="31"/>
      <c r="M73" s="7">
        <v>-23</v>
      </c>
    </row>
    <row r="74" spans="1:13" ht="16.5" thickBot="1">
      <c r="A74" s="89" t="s">
        <v>17</v>
      </c>
      <c r="C74" s="82"/>
      <c r="D74" s="70">
        <f>SUM(D67:D73)</f>
        <v>2809</v>
      </c>
      <c r="E74" s="82"/>
      <c r="F74" s="70">
        <f>SUM(F67:F73)</f>
        <v>3368</v>
      </c>
      <c r="H74" s="70">
        <f t="shared" ref="H74:K74" si="34">SUM(H67:H73)</f>
        <v>825</v>
      </c>
      <c r="I74" s="70">
        <f t="shared" si="34"/>
        <v>892</v>
      </c>
      <c r="J74" s="70">
        <f t="shared" si="34"/>
        <v>864</v>
      </c>
      <c r="K74" s="70">
        <f t="shared" si="34"/>
        <v>948</v>
      </c>
      <c r="L74" s="90"/>
      <c r="M74" s="70">
        <f t="shared" ref="M74" si="35">SUM(M67:M73)</f>
        <v>3529</v>
      </c>
    </row>
    <row r="75" spans="1:13" ht="5.25" customHeight="1" thickTop="1">
      <c r="A75" s="89"/>
      <c r="C75" s="82"/>
      <c r="D75" s="69"/>
      <c r="E75" s="82"/>
      <c r="F75" s="69"/>
      <c r="H75" s="69"/>
      <c r="I75" s="69"/>
      <c r="J75" s="69"/>
      <c r="K75" s="69"/>
      <c r="L75" s="90"/>
      <c r="M75" s="69"/>
    </row>
    <row r="76" spans="1:13" ht="15">
      <c r="A76" s="89" t="s">
        <v>45</v>
      </c>
      <c r="B76" s="24"/>
      <c r="C76" s="24"/>
      <c r="D76" s="23">
        <f>+D74/D16</f>
        <v>0.2353187568065678</v>
      </c>
      <c r="E76" s="24"/>
      <c r="F76" s="23">
        <f>+F74/F16</f>
        <v>0.26430196970885977</v>
      </c>
      <c r="H76" s="23">
        <f>+H74/H16</f>
        <v>0.25886413555067461</v>
      </c>
      <c r="I76" s="23">
        <f>+I74/I16</f>
        <v>0.279711508309815</v>
      </c>
      <c r="J76" s="23">
        <f>+J74/J16</f>
        <v>0.27298578199052131</v>
      </c>
      <c r="K76" s="23">
        <f>+K74/K16</f>
        <v>0.2823108993448481</v>
      </c>
      <c r="L76" s="24"/>
      <c r="M76" s="23">
        <f>+M74/M16</f>
        <v>0.27358709977517637</v>
      </c>
    </row>
    <row r="77" spans="1:13" ht="15">
      <c r="A77" s="89"/>
      <c r="B77" s="24"/>
      <c r="C77" s="24"/>
      <c r="D77" s="7"/>
      <c r="E77" s="24"/>
      <c r="F77" s="7"/>
    </row>
    <row r="78" spans="1:13">
      <c r="A78" s="93"/>
    </row>
    <row r="81" spans="4:6">
      <c r="D81" s="94"/>
      <c r="F81" s="94"/>
    </row>
    <row r="82" spans="4:6">
      <c r="D82" s="92"/>
      <c r="F82" s="92"/>
    </row>
  </sheetData>
  <mergeCells count="2">
    <mergeCell ref="A5:A6"/>
    <mergeCell ref="H5:M5"/>
  </mergeCell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N46"/>
  <sheetViews>
    <sheetView showGridLines="0" workbookViewId="0">
      <pane xSplit="2" ySplit="7" topLeftCell="C8" activePane="bottomRight" state="frozen"/>
      <selection activeCell="A28" sqref="A28"/>
      <selection pane="topRight" activeCell="A28" sqref="A28"/>
      <selection pane="bottomLeft" activeCell="A28" sqref="A28"/>
      <selection pane="bottomRight" activeCell="A19" sqref="A19"/>
    </sheetView>
  </sheetViews>
  <sheetFormatPr defaultRowHeight="15"/>
  <cols>
    <col min="1" max="1" width="69" style="1" customWidth="1"/>
    <col min="2" max="2" width="3.5703125" customWidth="1"/>
    <col min="3" max="3" width="3.7109375" customWidth="1"/>
    <col min="4" max="4" width="11.5703125" customWidth="1"/>
    <col min="5" max="5" width="3" customWidth="1"/>
    <col min="6" max="6" width="12.7109375" customWidth="1"/>
    <col min="7" max="7" width="3.28515625" customWidth="1"/>
    <col min="8" max="8" width="12.42578125" customWidth="1"/>
    <col min="9" max="9" width="12.28515625" customWidth="1"/>
    <col min="10" max="10" width="11.5703125" customWidth="1"/>
    <col min="11" max="11" width="11.140625" customWidth="1"/>
    <col min="12" max="12" width="3.28515625" customWidth="1"/>
    <col min="13" max="13" width="12.7109375" customWidth="1"/>
  </cols>
  <sheetData>
    <row r="2" spans="1:13" ht="15.75">
      <c r="A2" s="111" t="s">
        <v>32</v>
      </c>
      <c r="B2" s="31"/>
      <c r="C2" s="31"/>
    </row>
    <row r="3" spans="1:13" ht="31.5">
      <c r="A3" s="111" t="s">
        <v>85</v>
      </c>
      <c r="B3" s="102"/>
      <c r="C3" s="31"/>
    </row>
    <row r="4" spans="1:13" ht="30">
      <c r="A4" s="112" t="s">
        <v>37</v>
      </c>
    </row>
    <row r="5" spans="1:13" ht="28.5" customHeight="1">
      <c r="A5" s="125" t="s">
        <v>101</v>
      </c>
    </row>
    <row r="6" spans="1:13" ht="16.5" customHeight="1">
      <c r="A6" s="132" t="s">
        <v>102</v>
      </c>
      <c r="D6" s="127">
        <v>2010</v>
      </c>
      <c r="F6" s="127">
        <v>2011</v>
      </c>
      <c r="H6" s="134">
        <v>2012</v>
      </c>
      <c r="I6" s="134"/>
      <c r="J6" s="134"/>
      <c r="K6" s="134"/>
      <c r="L6" s="134"/>
      <c r="M6" s="134"/>
    </row>
    <row r="7" spans="1:13" ht="18">
      <c r="A7" s="132"/>
      <c r="B7" s="32"/>
      <c r="C7" s="15"/>
      <c r="D7" s="36" t="s">
        <v>16</v>
      </c>
      <c r="E7" s="15"/>
      <c r="F7" s="36" t="s">
        <v>16</v>
      </c>
      <c r="H7" s="36" t="s">
        <v>12</v>
      </c>
      <c r="I7" s="36" t="s">
        <v>13</v>
      </c>
      <c r="J7" s="36" t="s">
        <v>14</v>
      </c>
      <c r="K7" s="36" t="s">
        <v>15</v>
      </c>
      <c r="L7" s="81"/>
      <c r="M7" s="36" t="s">
        <v>16</v>
      </c>
    </row>
    <row r="8" spans="1:13">
      <c r="L8" s="31"/>
    </row>
    <row r="9" spans="1:13">
      <c r="A9" s="1" t="s">
        <v>80</v>
      </c>
      <c r="B9" s="7"/>
      <c r="C9" s="7"/>
      <c r="D9" s="7">
        <f>'Reported - New Web'!C21</f>
        <v>11937</v>
      </c>
      <c r="E9" s="7"/>
      <c r="F9" s="7">
        <f>'Reported - New Web'!E21</f>
        <v>12743</v>
      </c>
      <c r="H9" s="7">
        <v>3187</v>
      </c>
      <c r="I9" s="7">
        <v>3189</v>
      </c>
      <c r="J9" s="7">
        <v>3165</v>
      </c>
      <c r="K9" s="7">
        <v>3358</v>
      </c>
      <c r="L9" s="7"/>
      <c r="M9" s="7">
        <f>'Reported - New Web'!L21</f>
        <v>12899</v>
      </c>
    </row>
    <row r="10" spans="1:13">
      <c r="A10" s="9" t="s">
        <v>99</v>
      </c>
      <c r="B10" s="7"/>
      <c r="C10" s="5"/>
      <c r="D10" s="5">
        <v>-150</v>
      </c>
      <c r="E10" s="5">
        <v>0</v>
      </c>
      <c r="F10" s="5">
        <v>-157</v>
      </c>
      <c r="G10" s="59"/>
      <c r="H10" s="5">
        <v>-39</v>
      </c>
      <c r="I10" s="5">
        <v>-37</v>
      </c>
      <c r="J10" s="5">
        <v>-35</v>
      </c>
      <c r="K10" s="5">
        <v>-35</v>
      </c>
      <c r="L10" s="5"/>
      <c r="M10" s="5">
        <v>-146</v>
      </c>
    </row>
    <row r="11" spans="1:13">
      <c r="A11" s="9" t="s">
        <v>69</v>
      </c>
      <c r="B11" s="7"/>
      <c r="C11" s="5"/>
      <c r="D11" s="5">
        <v>-307</v>
      </c>
      <c r="E11" s="5"/>
      <c r="F11" s="5">
        <v>-319</v>
      </c>
      <c r="H11" s="5">
        <v>-76</v>
      </c>
      <c r="I11" s="5">
        <v>-78</v>
      </c>
      <c r="J11" s="5">
        <v>-78</v>
      </c>
      <c r="K11" s="5">
        <v>-78</v>
      </c>
      <c r="L11" s="5"/>
      <c r="M11" s="5">
        <v>-310</v>
      </c>
    </row>
    <row r="12" spans="1:13" ht="16.5" thickBot="1">
      <c r="A12" s="60" t="s">
        <v>79</v>
      </c>
      <c r="B12" s="7"/>
      <c r="C12" s="69"/>
      <c r="D12" s="70">
        <f t="shared" ref="D12" si="0">SUM(D9:D11)</f>
        <v>11480</v>
      </c>
      <c r="E12" s="69"/>
      <c r="F12" s="70">
        <f t="shared" ref="F12:H12" si="1">SUM(F9:F11)</f>
        <v>12267</v>
      </c>
      <c r="H12" s="70">
        <f t="shared" si="1"/>
        <v>3072</v>
      </c>
      <c r="I12" s="70">
        <f t="shared" ref="I12" si="2">SUM(I9:I11)</f>
        <v>3074</v>
      </c>
      <c r="J12" s="70">
        <f t="shared" ref="J12" si="3">SUM(J9:J11)</f>
        <v>3052</v>
      </c>
      <c r="K12" s="70">
        <f t="shared" ref="K12" si="4">SUM(K9:K11)</f>
        <v>3245</v>
      </c>
      <c r="L12" s="68"/>
      <c r="M12" s="70">
        <f>SUM(M9:M11)</f>
        <v>12443</v>
      </c>
    </row>
    <row r="13" spans="1:13" ht="15.75" thickTop="1">
      <c r="L13" s="31"/>
    </row>
    <row r="14" spans="1:13" ht="15.75">
      <c r="A14" s="113" t="s">
        <v>70</v>
      </c>
      <c r="B14" s="68"/>
      <c r="C14" s="68"/>
      <c r="D14" s="7">
        <f>'Reported - New Web'!C30</f>
        <v>2809</v>
      </c>
      <c r="E14" s="7"/>
      <c r="F14" s="7">
        <f>'Reported - New Web'!E30</f>
        <v>3368</v>
      </c>
      <c r="G14" s="95"/>
      <c r="H14" s="7">
        <v>825</v>
      </c>
      <c r="I14" s="7">
        <v>892</v>
      </c>
      <c r="J14" s="7">
        <v>864</v>
      </c>
      <c r="K14" s="7">
        <v>948</v>
      </c>
      <c r="L14" s="7"/>
      <c r="M14" s="7">
        <f>'Reported - New Web'!L30</f>
        <v>3529</v>
      </c>
    </row>
    <row r="15" spans="1:13" ht="15.75">
      <c r="A15" s="113" t="s">
        <v>71</v>
      </c>
      <c r="B15" s="68"/>
      <c r="C15" s="68"/>
      <c r="D15" s="117">
        <f>D14/D9</f>
        <v>0.2353187568065678</v>
      </c>
      <c r="E15" s="118"/>
      <c r="F15" s="117">
        <f>F14/F9</f>
        <v>0.26430196970885977</v>
      </c>
      <c r="G15" s="119"/>
      <c r="H15" s="117">
        <f t="shared" ref="H15:K15" si="5">H14/H9</f>
        <v>0.25886413555067461</v>
      </c>
      <c r="I15" s="117">
        <f t="shared" si="5"/>
        <v>0.279711508309815</v>
      </c>
      <c r="J15" s="117">
        <f t="shared" si="5"/>
        <v>0.27298578199052131</v>
      </c>
      <c r="K15" s="117">
        <f t="shared" si="5"/>
        <v>0.2823108993448481</v>
      </c>
      <c r="L15" s="118"/>
      <c r="M15" s="117">
        <f t="shared" ref="M15" si="6">M14/M9</f>
        <v>0.27358709977517637</v>
      </c>
    </row>
    <row r="16" spans="1:13">
      <c r="A16" s="114" t="s">
        <v>3</v>
      </c>
      <c r="B16" s="7"/>
      <c r="C16" s="7"/>
      <c r="D16" s="7"/>
      <c r="E16" s="7"/>
      <c r="F16" s="7"/>
      <c r="H16" s="7"/>
      <c r="I16" s="7"/>
      <c r="J16" s="7"/>
      <c r="K16" s="7"/>
      <c r="L16" s="7"/>
      <c r="M16" s="7"/>
    </row>
    <row r="17" spans="1:14">
      <c r="A17" s="9" t="s">
        <v>99</v>
      </c>
      <c r="B17" s="7"/>
      <c r="C17" s="7"/>
      <c r="D17" s="7">
        <v>-52</v>
      </c>
      <c r="E17" s="7"/>
      <c r="F17" s="7">
        <v>-56</v>
      </c>
      <c r="H17" s="7">
        <v>-14</v>
      </c>
      <c r="I17" s="7">
        <v>-11</v>
      </c>
      <c r="J17" s="7">
        <v>-10</v>
      </c>
      <c r="K17" s="7">
        <v>-11</v>
      </c>
      <c r="L17" s="7"/>
      <c r="M17" s="7">
        <v>-46</v>
      </c>
    </row>
    <row r="18" spans="1:14">
      <c r="A18" s="9" t="s">
        <v>100</v>
      </c>
      <c r="B18" s="7"/>
      <c r="C18" s="7"/>
      <c r="D18" s="7">
        <v>-13</v>
      </c>
      <c r="E18" s="7"/>
      <c r="F18" s="7">
        <v>-31</v>
      </c>
      <c r="H18" s="7">
        <v>-12</v>
      </c>
      <c r="I18" s="7">
        <v>-12</v>
      </c>
      <c r="J18" s="7">
        <v>-12</v>
      </c>
      <c r="K18" s="7">
        <v>-12</v>
      </c>
      <c r="L18" s="7"/>
      <c r="M18" s="7">
        <v>-48</v>
      </c>
    </row>
    <row r="19" spans="1:14">
      <c r="A19" s="9" t="s">
        <v>69</v>
      </c>
      <c r="B19" s="7"/>
      <c r="C19" s="7"/>
      <c r="D19" s="7">
        <f>D20-SUM(D14+D17+D18)</f>
        <v>-122</v>
      </c>
      <c r="E19" s="7"/>
      <c r="F19" s="7">
        <f>F20-SUM(F14+F17+F18)</f>
        <v>-132</v>
      </c>
      <c r="H19" s="7">
        <v>-27</v>
      </c>
      <c r="I19" s="7">
        <v>-33</v>
      </c>
      <c r="J19" s="7">
        <v>-33</v>
      </c>
      <c r="K19" s="7">
        <v>-32</v>
      </c>
      <c r="L19" s="7"/>
      <c r="M19" s="7">
        <f t="shared" ref="M19" si="7">M20-SUM(M14+M17+M18)</f>
        <v>-125</v>
      </c>
    </row>
    <row r="20" spans="1:14" ht="15.75">
      <c r="A20" s="115" t="s">
        <v>73</v>
      </c>
      <c r="B20" s="5"/>
      <c r="C20" s="69"/>
      <c r="D20" s="67">
        <f>'Restated- New Web'!C30</f>
        <v>2622</v>
      </c>
      <c r="E20" s="69"/>
      <c r="F20" s="67">
        <f>'Restated- New Web'!E30</f>
        <v>3149</v>
      </c>
      <c r="H20" s="67">
        <f>'Restated- New Web'!G30</f>
        <v>772</v>
      </c>
      <c r="I20" s="67">
        <f>'Restated- New Web'!H30</f>
        <v>836</v>
      </c>
      <c r="J20" s="67">
        <f>'Restated- New Web'!I30</f>
        <v>809</v>
      </c>
      <c r="K20" s="67">
        <f>'Restated- New Web'!J30</f>
        <v>893</v>
      </c>
      <c r="L20" s="69"/>
      <c r="M20" s="67">
        <f>'Restated- New Web'!L30</f>
        <v>3310</v>
      </c>
    </row>
    <row r="21" spans="1:14" ht="15.75">
      <c r="A21" s="115" t="s">
        <v>74</v>
      </c>
      <c r="B21" s="24"/>
      <c r="C21" s="24"/>
      <c r="D21" s="120">
        <f>+D20/D12</f>
        <v>0.228397212543554</v>
      </c>
      <c r="E21" s="121"/>
      <c r="F21" s="120">
        <f>+F20/F12</f>
        <v>0.25670498084291188</v>
      </c>
      <c r="G21" s="122"/>
      <c r="H21" s="120">
        <f t="shared" ref="H21:K21" si="8">+H20/H12</f>
        <v>0.25130208333333331</v>
      </c>
      <c r="I21" s="120">
        <f t="shared" si="8"/>
        <v>0.27195836044242028</v>
      </c>
      <c r="J21" s="120">
        <f t="shared" si="8"/>
        <v>0.26507208387942333</v>
      </c>
      <c r="K21" s="120">
        <f t="shared" si="8"/>
        <v>0.27519260400616335</v>
      </c>
      <c r="L21" s="121"/>
      <c r="M21" s="120">
        <f t="shared" ref="M21" si="9">+M20/M12</f>
        <v>0.26601301936831956</v>
      </c>
    </row>
    <row r="22" spans="1:14">
      <c r="C22" s="59"/>
      <c r="E22" s="59"/>
      <c r="L22" s="88"/>
    </row>
    <row r="23" spans="1:14" ht="15.75">
      <c r="A23" s="113" t="s">
        <v>72</v>
      </c>
      <c r="B23" s="68"/>
      <c r="C23" s="68"/>
      <c r="D23" s="7">
        <f>'Reported - New Web'!C46</f>
        <v>2317</v>
      </c>
      <c r="E23" s="7"/>
      <c r="F23" s="7">
        <f>'Reported - New Web'!E46</f>
        <v>2541</v>
      </c>
      <c r="G23" s="95"/>
      <c r="H23" s="7">
        <v>545</v>
      </c>
      <c r="I23" s="7">
        <v>617</v>
      </c>
      <c r="J23" s="7">
        <v>585</v>
      </c>
      <c r="K23" s="7">
        <v>658</v>
      </c>
      <c r="L23" s="7"/>
      <c r="M23" s="7">
        <f>'Reported - New Web'!L46</f>
        <v>2405</v>
      </c>
    </row>
    <row r="24" spans="1:14" ht="15.75">
      <c r="A24" s="113" t="s">
        <v>75</v>
      </c>
      <c r="B24" s="68"/>
      <c r="C24" s="68"/>
      <c r="D24" s="117">
        <f>D23/D9</f>
        <v>0.19410237077992795</v>
      </c>
      <c r="E24" s="118"/>
      <c r="F24" s="117">
        <f>F23/F9</f>
        <v>0.19940359413011066</v>
      </c>
      <c r="G24" s="119"/>
      <c r="H24" s="117">
        <f t="shared" ref="H24:K24" si="10">H23/H9</f>
        <v>0.17100721681832445</v>
      </c>
      <c r="I24" s="117">
        <f t="shared" si="10"/>
        <v>0.19347757917842584</v>
      </c>
      <c r="J24" s="117">
        <f t="shared" si="10"/>
        <v>0.18483412322274881</v>
      </c>
      <c r="K24" s="117">
        <f t="shared" si="10"/>
        <v>0.19594997022036928</v>
      </c>
      <c r="L24" s="118"/>
      <c r="M24" s="117">
        <f t="shared" ref="M24" si="11">M23/M9</f>
        <v>0.18644856190402356</v>
      </c>
    </row>
    <row r="25" spans="1:14">
      <c r="A25" s="114" t="s">
        <v>3</v>
      </c>
      <c r="B25" s="7"/>
      <c r="C25" s="7"/>
      <c r="D25" s="7"/>
      <c r="E25" s="7"/>
      <c r="F25" s="7"/>
      <c r="H25" s="7"/>
      <c r="I25" s="7"/>
      <c r="J25" s="7"/>
      <c r="K25" s="7"/>
      <c r="L25" s="7"/>
      <c r="M25" s="7"/>
    </row>
    <row r="26" spans="1:14">
      <c r="A26" s="9" t="s">
        <v>99</v>
      </c>
      <c r="B26" s="7"/>
      <c r="C26" s="7"/>
      <c r="D26" s="7">
        <v>-37</v>
      </c>
      <c r="E26" s="7"/>
      <c r="F26" s="7">
        <v>-42</v>
      </c>
      <c r="H26" s="7">
        <v>-10</v>
      </c>
      <c r="I26" s="7">
        <v>-9</v>
      </c>
      <c r="J26" s="7">
        <v>-6</v>
      </c>
      <c r="K26" s="7">
        <v>-8</v>
      </c>
      <c r="L26" s="7"/>
      <c r="M26" s="7">
        <v>-33</v>
      </c>
    </row>
    <row r="27" spans="1:14">
      <c r="A27" s="9" t="s">
        <v>100</v>
      </c>
      <c r="B27" s="7"/>
      <c r="C27" s="7"/>
      <c r="D27" s="7">
        <v>-13</v>
      </c>
      <c r="E27" s="7"/>
      <c r="F27" s="7">
        <v>-31</v>
      </c>
      <c r="H27" s="7">
        <v>-12</v>
      </c>
      <c r="I27" s="7">
        <v>-12</v>
      </c>
      <c r="J27" s="7">
        <v>-12</v>
      </c>
      <c r="K27" s="7">
        <v>-12</v>
      </c>
      <c r="L27" s="7"/>
      <c r="M27" s="7">
        <v>-48</v>
      </c>
    </row>
    <row r="28" spans="1:14">
      <c r="A28" s="9" t="s">
        <v>69</v>
      </c>
      <c r="B28" s="7"/>
      <c r="C28" s="7"/>
      <c r="D28" s="7">
        <f>D29-SUM(D23+D26+D27)</f>
        <v>-116</v>
      </c>
      <c r="E28" s="7"/>
      <c r="F28" s="7">
        <f>F29-SUM(F23+F26+F27)</f>
        <v>-127</v>
      </c>
      <c r="H28" s="7">
        <v>-26</v>
      </c>
      <c r="I28" s="7">
        <v>-29</v>
      </c>
      <c r="J28" s="7">
        <v>-33</v>
      </c>
      <c r="K28" s="7">
        <v>-31</v>
      </c>
      <c r="L28" s="7"/>
      <c r="M28" s="7">
        <f t="shared" ref="M28" si="12">M29-SUM(M23+M26+M27)</f>
        <v>-119</v>
      </c>
    </row>
    <row r="29" spans="1:14" ht="15.75">
      <c r="A29" s="115" t="s">
        <v>76</v>
      </c>
      <c r="B29" s="5"/>
      <c r="C29" s="69"/>
      <c r="D29" s="67">
        <f>'Restated- New Web'!C46</f>
        <v>2151</v>
      </c>
      <c r="E29" s="69"/>
      <c r="F29" s="67">
        <f>'Restated- New Web'!E46</f>
        <v>2341</v>
      </c>
      <c r="H29" s="67">
        <f>'Restated- New Web'!G46</f>
        <v>497</v>
      </c>
      <c r="I29" s="67">
        <f>'Restated- New Web'!H46</f>
        <v>567</v>
      </c>
      <c r="J29" s="67">
        <f>'Restated- New Web'!I46</f>
        <v>534</v>
      </c>
      <c r="K29" s="67">
        <f>'Restated- New Web'!J46</f>
        <v>607</v>
      </c>
      <c r="L29" s="69"/>
      <c r="M29" s="67">
        <f>'Restated- New Web'!L46</f>
        <v>2205</v>
      </c>
    </row>
    <row r="30" spans="1:14" ht="15.75">
      <c r="A30" s="115" t="s">
        <v>77</v>
      </c>
      <c r="B30" s="24"/>
      <c r="C30" s="24"/>
      <c r="D30" s="120">
        <f>D29/D12</f>
        <v>0.18736933797909408</v>
      </c>
      <c r="E30" s="121"/>
      <c r="F30" s="120">
        <f>F29/F12</f>
        <v>0.19083720551071981</v>
      </c>
      <c r="G30" s="122"/>
      <c r="H30" s="120">
        <f>H29/H12</f>
        <v>0.16178385416666666</v>
      </c>
      <c r="I30" s="120">
        <f>I29/I12</f>
        <v>0.18445022771633052</v>
      </c>
      <c r="J30" s="120">
        <f t="shared" ref="J30:K30" si="13">J29/J12</f>
        <v>0.17496723460026212</v>
      </c>
      <c r="K30" s="120">
        <f t="shared" si="13"/>
        <v>0.18705701078582435</v>
      </c>
      <c r="L30" s="121"/>
      <c r="M30" s="120">
        <f t="shared" ref="M30" si="14">M29/M12</f>
        <v>0.17720806879369927</v>
      </c>
      <c r="N30" s="122"/>
    </row>
    <row r="31" spans="1:14">
      <c r="C31" s="59"/>
      <c r="E31" s="59"/>
      <c r="L31" s="88"/>
    </row>
    <row r="32" spans="1:14" s="31" customFormat="1">
      <c r="A32" s="15"/>
      <c r="C32" s="88"/>
      <c r="E32" s="88"/>
      <c r="L32" s="88"/>
    </row>
    <row r="33" spans="1:13" s="31" customFormat="1" ht="15.75">
      <c r="A33" s="65" t="s">
        <v>81</v>
      </c>
      <c r="B33" s="7"/>
      <c r="C33" s="68"/>
      <c r="D33" s="7">
        <f>'Reported - New Web'!C57</f>
        <v>1279</v>
      </c>
      <c r="E33" s="7"/>
      <c r="F33" s="7">
        <f>'Reported - New Web'!E57</f>
        <v>1634</v>
      </c>
      <c r="G33" s="109"/>
      <c r="H33" s="7">
        <v>365</v>
      </c>
      <c r="I33" s="7">
        <v>449</v>
      </c>
      <c r="J33" s="7">
        <v>445</v>
      </c>
      <c r="K33" s="7">
        <v>497</v>
      </c>
      <c r="L33" s="7"/>
      <c r="M33" s="7">
        <f>'Reported - New Web'!L57</f>
        <v>1756</v>
      </c>
    </row>
    <row r="34" spans="1:13" s="31" customFormat="1" ht="15.75">
      <c r="A34" s="65" t="s">
        <v>82</v>
      </c>
      <c r="B34" s="7"/>
      <c r="C34" s="68"/>
      <c r="D34" s="110">
        <f>'Reported - New Web'!C58</f>
        <v>1.53</v>
      </c>
      <c r="E34" s="7"/>
      <c r="F34" s="110">
        <f>'Reported - New Web'!E58</f>
        <v>1.96</v>
      </c>
      <c r="G34" s="109"/>
      <c r="H34" s="110">
        <f>'Reported - New Web'!G58</f>
        <v>0.44</v>
      </c>
      <c r="I34" s="110">
        <f>'Reported - New Web'!H58</f>
        <v>0.54</v>
      </c>
      <c r="J34" s="110">
        <f>'Reported - New Web'!I58</f>
        <v>0.54</v>
      </c>
      <c r="K34" s="110">
        <f>'Reported - New Web'!J58</f>
        <v>0.6</v>
      </c>
      <c r="L34" s="7"/>
      <c r="M34" s="110">
        <f>'Reported - New Web'!L58</f>
        <v>2.12</v>
      </c>
    </row>
    <row r="35" spans="1:13" s="31" customFormat="1">
      <c r="A35" s="114" t="s">
        <v>3</v>
      </c>
      <c r="B35" s="7"/>
      <c r="C35" s="7"/>
      <c r="D35" s="7"/>
      <c r="E35" s="7"/>
      <c r="F35" s="7"/>
      <c r="H35" s="7"/>
      <c r="I35" s="7"/>
      <c r="J35" s="7"/>
      <c r="K35" s="7"/>
      <c r="L35" s="7"/>
      <c r="M35" s="7"/>
    </row>
    <row r="36" spans="1:13" s="31" customFormat="1">
      <c r="A36" s="9" t="s">
        <v>99</v>
      </c>
      <c r="B36" s="7"/>
      <c r="C36" s="7"/>
      <c r="D36" s="7">
        <v>-20</v>
      </c>
      <c r="E36" s="7"/>
      <c r="F36" s="7">
        <v>-24</v>
      </c>
      <c r="H36" s="7">
        <v>-6</v>
      </c>
      <c r="I36" s="7">
        <v>-5</v>
      </c>
      <c r="J36" s="7">
        <v>-4</v>
      </c>
      <c r="K36" s="7">
        <v>-4</v>
      </c>
      <c r="L36" s="7"/>
      <c r="M36" s="7">
        <v>-19</v>
      </c>
    </row>
    <row r="37" spans="1:13" s="31" customFormat="1">
      <c r="A37" s="9" t="s">
        <v>100</v>
      </c>
      <c r="B37" s="7"/>
      <c r="C37" s="7"/>
      <c r="D37" s="7">
        <v>-42</v>
      </c>
      <c r="E37" s="7"/>
      <c r="F37" s="7">
        <v>-61</v>
      </c>
      <c r="H37" s="7">
        <v>-20</v>
      </c>
      <c r="I37" s="7">
        <v>-20</v>
      </c>
      <c r="J37" s="7">
        <v>-21</v>
      </c>
      <c r="K37" s="7">
        <v>-20</v>
      </c>
      <c r="L37" s="7"/>
      <c r="M37" s="7">
        <v>-81</v>
      </c>
    </row>
    <row r="38" spans="1:13" s="31" customFormat="1">
      <c r="A38" s="9" t="s">
        <v>69</v>
      </c>
      <c r="B38" s="7"/>
      <c r="C38" s="7"/>
      <c r="D38" s="11">
        <f>D39-SUM(D33+D36+D37)</f>
        <v>-87</v>
      </c>
      <c r="E38" s="7"/>
      <c r="F38" s="11">
        <f>F39-SUM(F33+F36+F37)</f>
        <v>-95</v>
      </c>
      <c r="H38" s="11">
        <v>-19</v>
      </c>
      <c r="I38" s="11">
        <v>-22</v>
      </c>
      <c r="J38" s="11">
        <v>-25</v>
      </c>
      <c r="K38" s="11">
        <v>-23</v>
      </c>
      <c r="L38" s="7"/>
      <c r="M38" s="11">
        <f t="shared" ref="M38" si="15">M39-SUM(M33+M36+M37)</f>
        <v>-89</v>
      </c>
    </row>
    <row r="39" spans="1:13" s="31" customFormat="1" ht="16.5" thickBot="1">
      <c r="A39" s="65" t="s">
        <v>83</v>
      </c>
      <c r="B39" s="7"/>
      <c r="C39" s="7"/>
      <c r="D39" s="68">
        <f>'Restated- New Web'!C57</f>
        <v>1130</v>
      </c>
      <c r="E39" s="68"/>
      <c r="F39" s="68">
        <f>'Restated- New Web'!E57</f>
        <v>1454</v>
      </c>
      <c r="G39" s="90"/>
      <c r="H39" s="68">
        <f>H33+SUM(H36:H38)</f>
        <v>320</v>
      </c>
      <c r="I39" s="68">
        <f t="shared" ref="I39:K39" si="16">I33+SUM(I36:I38)</f>
        <v>402</v>
      </c>
      <c r="J39" s="68">
        <f t="shared" si="16"/>
        <v>395</v>
      </c>
      <c r="K39" s="68">
        <f t="shared" si="16"/>
        <v>450</v>
      </c>
      <c r="L39" s="68"/>
      <c r="M39" s="68">
        <f>'Restated- New Web'!L57</f>
        <v>1567</v>
      </c>
    </row>
    <row r="40" spans="1:13" s="31" customFormat="1" ht="17.25" thickTop="1" thickBot="1">
      <c r="A40" s="65" t="s">
        <v>84</v>
      </c>
      <c r="B40" s="7"/>
      <c r="C40" s="7"/>
      <c r="D40" s="71">
        <f>ROUND(+D39/D42,2)</f>
        <v>1.35</v>
      </c>
      <c r="E40" s="7"/>
      <c r="F40" s="71">
        <f>ROUND(+F39/F42,2)</f>
        <v>1.74</v>
      </c>
      <c r="H40" s="71">
        <f t="shared" ref="H40:K40" si="17">ROUND(+H39/H42,2)</f>
        <v>0.39</v>
      </c>
      <c r="I40" s="71">
        <f t="shared" si="17"/>
        <v>0.48</v>
      </c>
      <c r="J40" s="71">
        <f t="shared" si="17"/>
        <v>0.48</v>
      </c>
      <c r="K40" s="71">
        <f t="shared" si="17"/>
        <v>0.54</v>
      </c>
      <c r="L40" s="7"/>
      <c r="M40" s="71">
        <f t="shared" ref="M40" si="18">ROUND(+M39/M42,2)</f>
        <v>1.89</v>
      </c>
    </row>
    <row r="41" spans="1:13" s="31" customFormat="1" ht="15.75" thickTop="1">
      <c r="A41" s="116"/>
      <c r="B41" s="7"/>
      <c r="C41" s="7"/>
      <c r="D41" s="7"/>
      <c r="E41" s="5"/>
      <c r="F41" s="7"/>
      <c r="H41" s="7"/>
      <c r="I41" s="7"/>
      <c r="J41" s="7"/>
      <c r="K41" s="7"/>
      <c r="L41" s="5"/>
      <c r="M41" s="7"/>
    </row>
    <row r="42" spans="1:13" s="31" customFormat="1">
      <c r="A42" s="116" t="s">
        <v>78</v>
      </c>
      <c r="B42" s="7"/>
      <c r="C42" s="15"/>
      <c r="D42" s="44">
        <f>+'Reported - New Web'!C60</f>
        <v>836.4</v>
      </c>
      <c r="E42" s="15"/>
      <c r="F42" s="44">
        <f>+'Reported - New Web'!E60</f>
        <v>835.8</v>
      </c>
      <c r="H42" s="44">
        <f>+'Reported - New Web'!G60</f>
        <v>830.3</v>
      </c>
      <c r="I42" s="44">
        <f>+'Reported - New Web'!H60</f>
        <v>830.7</v>
      </c>
      <c r="J42" s="44">
        <f>+'Reported - New Web'!I60</f>
        <v>828.4</v>
      </c>
      <c r="K42" s="44">
        <f>+'Reported - New Web'!J60</f>
        <v>829.2</v>
      </c>
      <c r="L42" s="44"/>
      <c r="M42" s="44">
        <f>+'Reported - New Web'!L60</f>
        <v>829.6</v>
      </c>
    </row>
    <row r="43" spans="1:13">
      <c r="B43" s="7"/>
      <c r="C43" s="19"/>
      <c r="D43" s="44"/>
      <c r="E43" s="44"/>
      <c r="F43" s="44"/>
      <c r="H43" s="44"/>
      <c r="I43" s="15"/>
      <c r="J43" s="44"/>
      <c r="K43" s="44"/>
      <c r="L43" s="44"/>
      <c r="M43" s="44"/>
    </row>
    <row r="45" spans="1:13">
      <c r="D45" s="94"/>
      <c r="F45" s="94"/>
    </row>
    <row r="46" spans="1:13">
      <c r="D46" s="92"/>
      <c r="F46" s="92"/>
    </row>
  </sheetData>
  <mergeCells count="2">
    <mergeCell ref="H6:M6"/>
    <mergeCell ref="A6:A7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Reported - New Web</vt:lpstr>
      <vt:lpstr>Restated- New Web</vt:lpstr>
      <vt:lpstr>Reported Non IFRS Measures</vt:lpstr>
      <vt:lpstr>Restated</vt:lpstr>
      <vt:lpstr>'Reported - New Web'!Print_Area</vt:lpstr>
      <vt:lpstr>'Reported Non IFRS Measures'!Print_Area</vt:lpstr>
      <vt:lpstr>Restated!Print_Area</vt:lpstr>
      <vt:lpstr>'Restated- New Web'!Print_Area</vt:lpstr>
      <vt:lpstr>'Restated- New Web'!Print_Titles</vt:lpstr>
    </vt:vector>
  </TitlesOfParts>
  <Company>Thomson Healthcare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Jason.Tempest</dc:creator>
  <cp:lastModifiedBy>Thomson Reuters Corporate</cp:lastModifiedBy>
  <cp:lastPrinted>2013-02-12T21:51:48Z</cp:lastPrinted>
  <dcterms:created xsi:type="dcterms:W3CDTF">2009-07-22T15:43:44Z</dcterms:created>
  <dcterms:modified xsi:type="dcterms:W3CDTF">2013-02-12T21:59:35Z</dcterms:modified>
</cp:coreProperties>
</file>